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dprc\Disk Google\kuzelky 25-26\PMN\5.turnaj\"/>
    </mc:Choice>
  </mc:AlternateContent>
  <xr:revisionPtr revIDLastSave="0" documentId="13_ncr:1_{E3FF4946-C244-46FE-9E21-591C09002947}" xr6:coauthVersionLast="47" xr6:coauthVersionMax="47" xr10:uidLastSave="{00000000-0000-0000-0000-000000000000}"/>
  <bookViews>
    <workbookView xWindow="-108" yWindow="-108" windowWidth="23256" windowHeight="12456" xr2:uid="{3ED1A84E-16AD-4232-8269-C21C6452A54E}"/>
  </bookViews>
  <sheets>
    <sheet name="Jihlava" sheetId="1" r:id="rId1"/>
    <sheet name="Podbořany" sheetId="2" r:id="rId2"/>
    <sheet name="Radotín" sheetId="3" r:id="rId3"/>
    <sheet name="Rychnov n.K." sheetId="4" r:id="rId4"/>
    <sheet name="Strakonice" sheetId="5" r:id="rId5"/>
    <sheet name="Zlí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I92" i="4"/>
  <c r="H92" i="4"/>
  <c r="I91" i="4"/>
  <c r="H91" i="4"/>
  <c r="I90" i="4"/>
  <c r="H90" i="4"/>
  <c r="G90" i="4" s="1"/>
  <c r="I89" i="4"/>
  <c r="H89" i="4"/>
  <c r="I88" i="4"/>
  <c r="H88" i="4"/>
  <c r="I87" i="4"/>
  <c r="G87" i="4" s="1"/>
  <c r="H87" i="4"/>
  <c r="I86" i="4"/>
  <c r="H86" i="4"/>
  <c r="I85" i="4"/>
  <c r="H85" i="4"/>
  <c r="G85" i="4" s="1"/>
  <c r="I84" i="4"/>
  <c r="H84" i="4"/>
  <c r="I83" i="4"/>
  <c r="H83" i="4"/>
  <c r="I82" i="4"/>
  <c r="H82" i="4"/>
  <c r="I81" i="4"/>
  <c r="H81" i="4"/>
  <c r="G81" i="4" s="1"/>
  <c r="I80" i="4"/>
  <c r="H80" i="4"/>
  <c r="G80" i="4" s="1"/>
  <c r="I79" i="4"/>
  <c r="H79" i="4"/>
  <c r="G79" i="4"/>
  <c r="I78" i="4"/>
  <c r="H78" i="4"/>
  <c r="I77" i="4"/>
  <c r="H77" i="4"/>
  <c r="G77" i="4" s="1"/>
  <c r="I76" i="4"/>
  <c r="H76" i="4"/>
  <c r="I75" i="4"/>
  <c r="H75" i="4"/>
  <c r="I74" i="4"/>
  <c r="H74" i="4"/>
  <c r="G74" i="4" s="1"/>
  <c r="I73" i="4"/>
  <c r="H73" i="4"/>
  <c r="G73" i="4" s="1"/>
  <c r="I72" i="4"/>
  <c r="H72" i="4"/>
  <c r="G72" i="4" s="1"/>
  <c r="I71" i="4"/>
  <c r="H71" i="4"/>
  <c r="G71" i="4" s="1"/>
  <c r="I70" i="4"/>
  <c r="H70" i="4"/>
  <c r="I69" i="4"/>
  <c r="H69" i="4"/>
  <c r="I68" i="4"/>
  <c r="H68" i="4"/>
  <c r="I67" i="4"/>
  <c r="H67" i="4"/>
  <c r="G67" i="4" s="1"/>
  <c r="I66" i="4"/>
  <c r="H66" i="4"/>
  <c r="I65" i="4"/>
  <c r="H65" i="4"/>
  <c r="G65" i="4" s="1"/>
  <c r="I64" i="4"/>
  <c r="H64" i="4"/>
  <c r="G64" i="4" s="1"/>
  <c r="I62" i="4"/>
  <c r="H62" i="4"/>
  <c r="G62" i="4"/>
  <c r="I61" i="4"/>
  <c r="H61" i="4"/>
  <c r="G61" i="4" s="1"/>
  <c r="I60" i="4"/>
  <c r="H60" i="4"/>
  <c r="G60" i="4" s="1"/>
  <c r="I59" i="4"/>
  <c r="H59" i="4"/>
  <c r="I58" i="4"/>
  <c r="H58" i="4"/>
  <c r="I57" i="4"/>
  <c r="H57" i="4"/>
  <c r="I56" i="4"/>
  <c r="H56" i="4"/>
  <c r="I55" i="4"/>
  <c r="H55" i="4"/>
  <c r="G55" i="4" s="1"/>
  <c r="I54" i="4"/>
  <c r="H54" i="4"/>
  <c r="G54" i="4"/>
  <c r="I53" i="4"/>
  <c r="H53" i="4"/>
  <c r="G53" i="4" s="1"/>
  <c r="I52" i="4"/>
  <c r="G52" i="4" s="1"/>
  <c r="H52" i="4"/>
  <c r="I51" i="4"/>
  <c r="H51" i="4"/>
  <c r="I50" i="4"/>
  <c r="H50" i="4"/>
  <c r="G50" i="4" s="1"/>
  <c r="I49" i="4"/>
  <c r="H49" i="4"/>
  <c r="I48" i="4"/>
  <c r="G48" i="4" s="1"/>
  <c r="H48" i="4"/>
  <c r="I47" i="4"/>
  <c r="H47" i="4"/>
  <c r="I46" i="4"/>
  <c r="G46" i="4" s="1"/>
  <c r="H46" i="4"/>
  <c r="I45" i="4"/>
  <c r="H45" i="4"/>
  <c r="I44" i="4"/>
  <c r="H44" i="4"/>
  <c r="G44" i="4" s="1"/>
  <c r="I43" i="4"/>
  <c r="H43" i="4"/>
  <c r="I42" i="4"/>
  <c r="H42" i="4"/>
  <c r="I41" i="4"/>
  <c r="H41" i="4"/>
  <c r="G41" i="4" s="1"/>
  <c r="I40" i="4"/>
  <c r="H40" i="4"/>
  <c r="I38" i="4"/>
  <c r="H38" i="4"/>
  <c r="I37" i="4"/>
  <c r="G37" i="4" s="1"/>
  <c r="H37" i="4"/>
  <c r="I36" i="4"/>
  <c r="H36" i="4"/>
  <c r="I35" i="4"/>
  <c r="H35" i="4"/>
  <c r="G35" i="4"/>
  <c r="I34" i="4"/>
  <c r="H34" i="4"/>
  <c r="H33" i="4"/>
  <c r="G33" i="4" s="1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4" i="4"/>
  <c r="H14" i="4"/>
  <c r="I13" i="4"/>
  <c r="H13" i="4"/>
  <c r="I12" i="4"/>
  <c r="H12" i="4"/>
  <c r="I11" i="4"/>
  <c r="H11" i="4"/>
  <c r="I10" i="4"/>
  <c r="H10" i="4"/>
  <c r="I9" i="4"/>
  <c r="H9" i="4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8" i="6"/>
  <c r="G57" i="6"/>
  <c r="G56" i="6"/>
  <c r="G55" i="6"/>
  <c r="G54" i="6"/>
  <c r="G53" i="6"/>
  <c r="G52" i="6"/>
  <c r="G51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0" i="6"/>
  <c r="G29" i="6"/>
  <c r="G28" i="6"/>
  <c r="G27" i="6"/>
  <c r="G26" i="6"/>
  <c r="G25" i="6"/>
  <c r="G24" i="6"/>
  <c r="G23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29" i="5"/>
  <c r="G28" i="5"/>
  <c r="G27" i="5"/>
  <c r="G26" i="5"/>
  <c r="G25" i="5"/>
  <c r="G23" i="5"/>
  <c r="G22" i="5"/>
  <c r="G21" i="5"/>
  <c r="G20" i="5"/>
  <c r="G19" i="5"/>
  <c r="G18" i="5"/>
  <c r="G16" i="5"/>
  <c r="G15" i="5"/>
  <c r="G14" i="5"/>
  <c r="G12" i="5"/>
  <c r="G11" i="5"/>
  <c r="G10" i="5"/>
  <c r="G9" i="5"/>
  <c r="I97" i="4"/>
  <c r="H97" i="4"/>
  <c r="I96" i="4"/>
  <c r="H96" i="4"/>
  <c r="I95" i="4"/>
  <c r="H95" i="4"/>
  <c r="I94" i="4"/>
  <c r="H94" i="4"/>
  <c r="I93" i="4"/>
  <c r="H93" i="4"/>
  <c r="G40" i="3"/>
  <c r="G39" i="3"/>
  <c r="G38" i="3"/>
  <c r="G37" i="3"/>
  <c r="G36" i="3"/>
  <c r="G35" i="3"/>
  <c r="G34" i="3"/>
  <c r="G32" i="3"/>
  <c r="G31" i="3"/>
  <c r="G30" i="3"/>
  <c r="G29" i="3"/>
  <c r="G28" i="3"/>
  <c r="G27" i="3"/>
  <c r="G26" i="3"/>
  <c r="G25" i="3"/>
  <c r="G24" i="3"/>
  <c r="G22" i="3"/>
  <c r="G21" i="3"/>
  <c r="G20" i="3"/>
  <c r="G18" i="3"/>
  <c r="G17" i="3"/>
  <c r="G16" i="3"/>
  <c r="G15" i="3"/>
  <c r="G14" i="3"/>
  <c r="G12" i="3"/>
  <c r="G11" i="3"/>
  <c r="G10" i="3"/>
  <c r="G9" i="3"/>
  <c r="G36" i="2"/>
  <c r="G34" i="2"/>
  <c r="G33" i="2"/>
  <c r="G32" i="2"/>
  <c r="G31" i="2"/>
  <c r="G30" i="2"/>
  <c r="G27" i="2"/>
  <c r="G26" i="2"/>
  <c r="G25" i="2"/>
  <c r="G24" i="2"/>
  <c r="G23" i="2"/>
  <c r="G22" i="2"/>
  <c r="G21" i="2"/>
  <c r="G20" i="2"/>
  <c r="G19" i="2"/>
  <c r="G18" i="2"/>
  <c r="G16" i="2"/>
  <c r="G15" i="2"/>
  <c r="G14" i="2"/>
  <c r="G13" i="2"/>
  <c r="G12" i="2"/>
  <c r="G11" i="2"/>
  <c r="G9" i="2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6" i="4" l="1"/>
  <c r="G20" i="4"/>
  <c r="G24" i="4"/>
  <c r="G28" i="4"/>
  <c r="G78" i="4"/>
  <c r="G45" i="4"/>
  <c r="G83" i="4"/>
  <c r="G88" i="4"/>
  <c r="G42" i="4"/>
  <c r="G56" i="4"/>
  <c r="G86" i="4"/>
  <c r="G91" i="4"/>
  <c r="G38" i="4"/>
  <c r="G57" i="4"/>
  <c r="G69" i="4"/>
  <c r="G89" i="4"/>
  <c r="G40" i="4"/>
  <c r="G47" i="4"/>
  <c r="G58" i="4"/>
  <c r="G70" i="4"/>
  <c r="G75" i="4"/>
  <c r="G51" i="4"/>
  <c r="G68" i="4"/>
  <c r="G84" i="4"/>
  <c r="G19" i="4"/>
  <c r="G36" i="4"/>
  <c r="G49" i="4"/>
  <c r="G66" i="4"/>
  <c r="G82" i="4"/>
  <c r="G27" i="4"/>
  <c r="G34" i="4"/>
  <c r="G43" i="4"/>
  <c r="G59" i="4"/>
  <c r="G76" i="4"/>
  <c r="G92" i="4"/>
  <c r="G10" i="4"/>
  <c r="G11" i="4"/>
  <c r="G29" i="4"/>
  <c r="G13" i="4"/>
  <c r="G30" i="4"/>
  <c r="G17" i="4"/>
  <c r="G25" i="4"/>
  <c r="G22" i="4"/>
  <c r="G96" i="4"/>
  <c r="G14" i="4"/>
  <c r="G23" i="4"/>
  <c r="G31" i="4"/>
  <c r="G9" i="4"/>
  <c r="G18" i="4"/>
  <c r="G26" i="4"/>
  <c r="G12" i="4"/>
  <c r="G21" i="4"/>
  <c r="G32" i="4"/>
  <c r="G97" i="4"/>
  <c r="G95" i="4"/>
  <c r="G94" i="4"/>
  <c r="G93" i="4"/>
</calcChain>
</file>

<file path=xl/sharedStrings.xml><?xml version="1.0" encoding="utf-8"?>
<sst xmlns="http://schemas.openxmlformats.org/spreadsheetml/2006/main" count="1275" uniqueCount="438">
  <si>
    <t>Jihlava</t>
  </si>
  <si>
    <t>Jméno</t>
  </si>
  <si>
    <t>Oddíl</t>
  </si>
  <si>
    <t>Reg.č.</t>
  </si>
  <si>
    <t>Narozen</t>
  </si>
  <si>
    <t>Kategorie</t>
  </si>
  <si>
    <t>Celk.</t>
  </si>
  <si>
    <t>Plné</t>
  </si>
  <si>
    <t>Dor.</t>
  </si>
  <si>
    <t>Chyb</t>
  </si>
  <si>
    <t>Dalecká Tereza</t>
  </si>
  <si>
    <t>Kuželky Přelouč</t>
  </si>
  <si>
    <t>da</t>
  </si>
  <si>
    <t>Kozáková Karolína</t>
  </si>
  <si>
    <t>KK Jihlava</t>
  </si>
  <si>
    <t>Harcová Alžběta</t>
  </si>
  <si>
    <t>SKK Dubňany</t>
  </si>
  <si>
    <t>Černíková Jana</t>
  </si>
  <si>
    <t>Jiskra Nová Bystřice</t>
  </si>
  <si>
    <t>Čadová Vendula</t>
  </si>
  <si>
    <t>České Velenice</t>
  </si>
  <si>
    <t>Sedláčková Veronika</t>
  </si>
  <si>
    <t>KK Blansko</t>
  </si>
  <si>
    <t>Marková Laura</t>
  </si>
  <si>
    <t>Hrůzová Rozálie</t>
  </si>
  <si>
    <t>Dačice</t>
  </si>
  <si>
    <t>Hupková Ema</t>
  </si>
  <si>
    <t>Čepáková Natálie</t>
  </si>
  <si>
    <t>Šindelářová Klára</t>
  </si>
  <si>
    <t>Slovan Kamenice n.L.</t>
  </si>
  <si>
    <t>Škodová Romana</t>
  </si>
  <si>
    <t>Lokomotiva Valtice</t>
  </si>
  <si>
    <t>Miláčková Karolína</t>
  </si>
  <si>
    <t>Březinová Adéla</t>
  </si>
  <si>
    <t>Málková Valerie</t>
  </si>
  <si>
    <t>Škarková Gabriela</t>
  </si>
  <si>
    <t>Sokol Šanov</t>
  </si>
  <si>
    <t>21.02.2012</t>
  </si>
  <si>
    <t>Novotná Tamara</t>
  </si>
  <si>
    <t>Kulková Nela</t>
  </si>
  <si>
    <t>TJ Nové Město n.M.</t>
  </si>
  <si>
    <t>Lysáková Leontýna</t>
  </si>
  <si>
    <t>24.08.2013</t>
  </si>
  <si>
    <t>db</t>
  </si>
  <si>
    <t>Tarkovych Antonina</t>
  </si>
  <si>
    <t>Kafková Soňa</t>
  </si>
  <si>
    <t>18.05.2013</t>
  </si>
  <si>
    <t>Chládková Julie</t>
  </si>
  <si>
    <t>Tokárová Nikola</t>
  </si>
  <si>
    <t>Pánková Julie</t>
  </si>
  <si>
    <t>Šalandová Eliška</t>
  </si>
  <si>
    <t>Mikulenková Anežka</t>
  </si>
  <si>
    <t>19.01.2014</t>
  </si>
  <si>
    <t>Hanousková Kristýna</t>
  </si>
  <si>
    <t>Jarolímová Anna</t>
  </si>
  <si>
    <t>Nováčková Eva</t>
  </si>
  <si>
    <t>Zápařková Tereza</t>
  </si>
  <si>
    <t>Vondráková Johanka</t>
  </si>
  <si>
    <t>Soukupová Veronika</t>
  </si>
  <si>
    <t>Bednář František</t>
  </si>
  <si>
    <t>ha</t>
  </si>
  <si>
    <t>Brand Richard</t>
  </si>
  <si>
    <t>Škarek Petr</t>
  </si>
  <si>
    <t>Mašek Tomáš</t>
  </si>
  <si>
    <t>Vojtěchovský Matyáš</t>
  </si>
  <si>
    <t>Schütz Petr</t>
  </si>
  <si>
    <t>TJ Třebíč</t>
  </si>
  <si>
    <t>Tarkovych Pavlo</t>
  </si>
  <si>
    <t>Zbořil Vojtěch</t>
  </si>
  <si>
    <t>Mika Nicolas</t>
  </si>
  <si>
    <t>20.03.2011</t>
  </si>
  <si>
    <t>Dohnal Šimon</t>
  </si>
  <si>
    <t>Vrbka Jan</t>
  </si>
  <si>
    <t>Podhajský David</t>
  </si>
  <si>
    <t>Šenkýř Jan</t>
  </si>
  <si>
    <t>KK Ořechov</t>
  </si>
  <si>
    <t>Podaný Tomáš</t>
  </si>
  <si>
    <t>Čech Ondřej</t>
  </si>
  <si>
    <t>Janák Matouš</t>
  </si>
  <si>
    <t>Polkovnyk Roman</t>
  </si>
  <si>
    <t>Melichar Lukáš</t>
  </si>
  <si>
    <t>Spartak Pelhřimov</t>
  </si>
  <si>
    <t>Trnovský Daniel</t>
  </si>
  <si>
    <t>Malovec Eduard</t>
  </si>
  <si>
    <t>Novák Tomáš</t>
  </si>
  <si>
    <t>hb</t>
  </si>
  <si>
    <t>Vevera Petr</t>
  </si>
  <si>
    <t>Žižka Matěj</t>
  </si>
  <si>
    <t>Vondráček Samuel</t>
  </si>
  <si>
    <t>Borovička Roman</t>
  </si>
  <si>
    <t>11.05.2013</t>
  </si>
  <si>
    <t>Novák Šimon</t>
  </si>
  <si>
    <t>Mika Šimon</t>
  </si>
  <si>
    <t>15.08.2014</t>
  </si>
  <si>
    <t>Feytl Jiří</t>
  </si>
  <si>
    <t>Zmeškal Miroslav</t>
  </si>
  <si>
    <t>Rozkošný Filip</t>
  </si>
  <si>
    <t>Burza Matěj</t>
  </si>
  <si>
    <t>Ujčík Zbyněk</t>
  </si>
  <si>
    <t>Havel Jiří</t>
  </si>
  <si>
    <t>Kurz Štěpán</t>
  </si>
  <si>
    <t>Černecký Matyáš</t>
  </si>
  <si>
    <t>Malý Denis</t>
  </si>
  <si>
    <t>BOPO Třebíč</t>
  </si>
  <si>
    <t>Formánek Filip</t>
  </si>
  <si>
    <t>Miláček Adam</t>
  </si>
  <si>
    <t>Smutný Filip</t>
  </si>
  <si>
    <t>Kotrč Matěj</t>
  </si>
  <si>
    <t>Komínek Patrik</t>
  </si>
  <si>
    <t>Nováček Ondřej</t>
  </si>
  <si>
    <t>Starší žákyně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</si>
  <si>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</si>
  <si>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</si>
  <si>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</si>
  <si>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</si>
  <si>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</si>
  <si>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</si>
  <si>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</si>
  <si>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</si>
  <si>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</si>
  <si>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</si>
  <si>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</si>
  <si>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</si>
  <si>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</si>
  <si>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</si>
  <si>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</si>
  <si>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</si>
  <si>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</si>
  <si>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</si>
  <si>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Mladší žákyně</t>
  </si>
  <si>
    <t>Starší žáci</t>
  </si>
  <si>
    <t>19.</t>
  </si>
  <si>
    <t>20.</t>
  </si>
  <si>
    <t>Mladší žáci</t>
  </si>
  <si>
    <t>21.</t>
  </si>
  <si>
    <t>22.</t>
  </si>
  <si>
    <t>Podbořany</t>
  </si>
  <si>
    <t>Škurlová Ema</t>
  </si>
  <si>
    <t>Loko Ústí n.L.</t>
  </si>
  <si>
    <t>Hervertová Kristýna</t>
  </si>
  <si>
    <t>TJ Lomnice</t>
  </si>
  <si>
    <t>26.9.2012</t>
  </si>
  <si>
    <t>Benešová Barbora</t>
  </si>
  <si>
    <t>Jiskra Kovářská</t>
  </si>
  <si>
    <t>Houšková Laura</t>
  </si>
  <si>
    <t>SKK Podbořany</t>
  </si>
  <si>
    <t>Valešová Ema</t>
  </si>
  <si>
    <t>Kocinová Nikola</t>
  </si>
  <si>
    <t>Rottová Klára</t>
  </si>
  <si>
    <t>Fišer Tomáš</t>
  </si>
  <si>
    <t xml:space="preserve">SK Verneřice </t>
  </si>
  <si>
    <t>28.1.2011</t>
  </si>
  <si>
    <t>Šimsa Michal</t>
  </si>
  <si>
    <t>Teplice Letná</t>
  </si>
  <si>
    <t>Semecký Karel</t>
  </si>
  <si>
    <t>Slavoj Praha</t>
  </si>
  <si>
    <t>Kaas Alan</t>
  </si>
  <si>
    <t>Slavoj Plzeň</t>
  </si>
  <si>
    <t>Holan Čeněk</t>
  </si>
  <si>
    <t>Pacholík Vojtěch</t>
  </si>
  <si>
    <t>SKK Bohušovice</t>
  </si>
  <si>
    <t>Sládek František</t>
  </si>
  <si>
    <t>Steinbach Josef</t>
  </si>
  <si>
    <t>Köstler Sebastian</t>
  </si>
  <si>
    <t>25.12.2010</t>
  </si>
  <si>
    <t>Boudník Tobiáš</t>
  </si>
  <si>
    <t>Sokol Duchcov</t>
  </si>
  <si>
    <t>Chaloupecký Jakub</t>
  </si>
  <si>
    <t>Studnička Richard</t>
  </si>
  <si>
    <t>Cicko Jan</t>
  </si>
  <si>
    <t>Košťál Pavel</t>
  </si>
  <si>
    <t>Baloun Jiří</t>
  </si>
  <si>
    <t>CB Dobřany</t>
  </si>
  <si>
    <t>27.9.2012</t>
  </si>
  <si>
    <t>Václavek Matouš</t>
  </si>
  <si>
    <t>Baloun Lukáš</t>
  </si>
  <si>
    <t>TJ Dobřany</t>
  </si>
  <si>
    <t>10.9.2015</t>
  </si>
  <si>
    <t>Bláha Kamil</t>
  </si>
  <si>
    <t>Kuželky Jiskra Hazlov</t>
  </si>
  <si>
    <t>Radotín</t>
  </si>
  <si>
    <t>Dytrychová Lada</t>
  </si>
  <si>
    <t>KK Kosmonosy</t>
  </si>
  <si>
    <t>Jaklová Dagmar</t>
  </si>
  <si>
    <t>Sokol Újezd Sv.Kříže</t>
  </si>
  <si>
    <t>Hendrychová Agáta</t>
  </si>
  <si>
    <t>Banýrová Vanessa</t>
  </si>
  <si>
    <t>Spartak Rokytnice</t>
  </si>
  <si>
    <t>Ujhelyiová Stella</t>
  </si>
  <si>
    <t>SC Olympia Radotín</t>
  </si>
  <si>
    <t>Vítová Amálie</t>
  </si>
  <si>
    <t>Sušienková Hana</t>
  </si>
  <si>
    <t>Škoda Plzeň</t>
  </si>
  <si>
    <t>11.03.2013</t>
  </si>
  <si>
    <t>Ratimcová Barbora</t>
  </si>
  <si>
    <t>Vaněčková Victorie</t>
  </si>
  <si>
    <t>Udatná Viktorie</t>
  </si>
  <si>
    <t>Benešová Lucie</t>
  </si>
  <si>
    <t>Slavíčková Kristýna</t>
  </si>
  <si>
    <t>Faitová Eva</t>
  </si>
  <si>
    <t>Kuželky Holýšov</t>
  </si>
  <si>
    <t>Novák Janek</t>
  </si>
  <si>
    <t>Daněček Dominik</t>
  </si>
  <si>
    <t>Sokol Vracov</t>
  </si>
  <si>
    <t>Banýr Sebastian</t>
  </si>
  <si>
    <t>Zuzánek Michal</t>
  </si>
  <si>
    <t>Leština Břetislav</t>
  </si>
  <si>
    <t>Beneš Matěj</t>
  </si>
  <si>
    <t>Preis Ondřej</t>
  </si>
  <si>
    <t>Vavříček Matěj</t>
  </si>
  <si>
    <t>Polívka Jakub</t>
  </si>
  <si>
    <t>Sojka Jaromír</t>
  </si>
  <si>
    <t>Sparta Kutná Hora</t>
  </si>
  <si>
    <t>Hloušek Matouš</t>
  </si>
  <si>
    <t>Mlejnek Lukáš</t>
  </si>
  <si>
    <t>Návara Vojtěch</t>
  </si>
  <si>
    <t>Záhrobský Adam</t>
  </si>
  <si>
    <t>Vavříček Vít</t>
  </si>
  <si>
    <t>Bartůněk Tomáš</t>
  </si>
  <si>
    <t>31.</t>
  </si>
  <si>
    <t>Rychnov n. K.</t>
  </si>
  <si>
    <t>Bártová Nikol</t>
  </si>
  <si>
    <t>SKK Náchod</t>
  </si>
  <si>
    <t>Bartoníčková Adéla</t>
  </si>
  <si>
    <t>SK Solnice</t>
  </si>
  <si>
    <t>Komprsová Adéla</t>
  </si>
  <si>
    <t>Jiskra Hylváty</t>
  </si>
  <si>
    <t>Kvapilová Eliška</t>
  </si>
  <si>
    <t>KK Zábřeh</t>
  </si>
  <si>
    <t>Hejnová Klára</t>
  </si>
  <si>
    <t>Schneiderová Nikola</t>
  </si>
  <si>
    <t>Kolářová Sofie</t>
  </si>
  <si>
    <t>SK Rybník</t>
  </si>
  <si>
    <t>Hubková Lucie</t>
  </si>
  <si>
    <t>Šimkovičová Ema</t>
  </si>
  <si>
    <t>Pánková Eliška</t>
  </si>
  <si>
    <t>SKK Vrchlabí</t>
  </si>
  <si>
    <t>Čapková Rozálie</t>
  </si>
  <si>
    <t>Drašnarová Amálie</t>
  </si>
  <si>
    <t>Petrgálová Marie</t>
  </si>
  <si>
    <t>SKK Jičín</t>
  </si>
  <si>
    <t>Žemličková Viktorie Ella</t>
  </si>
  <si>
    <t>Loko Česká Třebová</t>
  </si>
  <si>
    <t>Schejbalová Agáta</t>
  </si>
  <si>
    <t>Pailová Šárka</t>
  </si>
  <si>
    <t>KK Svitavy</t>
  </si>
  <si>
    <t>Gálusová Tereza</t>
  </si>
  <si>
    <t>Start Rychnov n.K.</t>
  </si>
  <si>
    <t>Dostálová Nikola</t>
  </si>
  <si>
    <t>Drobná Ema</t>
  </si>
  <si>
    <t>Dušková Denisa</t>
  </si>
  <si>
    <t>Kesnerová Amélie</t>
  </si>
  <si>
    <t>Žemličková Sofie Isabel</t>
  </si>
  <si>
    <t>Faitová Viktorie</t>
  </si>
  <si>
    <t>Tobolková Hana</t>
  </si>
  <si>
    <t>Palounková Ester</t>
  </si>
  <si>
    <t>Šafránková Anna</t>
  </si>
  <si>
    <t>Makoviny Viola</t>
  </si>
  <si>
    <t>Kalábová Nicol</t>
  </si>
  <si>
    <t>Mertlíková Kristýna</t>
  </si>
  <si>
    <t>Filipský Jakub</t>
  </si>
  <si>
    <t>Indrák Vojtěch</t>
  </si>
  <si>
    <t>Zelinka Vít</t>
  </si>
  <si>
    <t>Martinec Daniel</t>
  </si>
  <si>
    <t>Weinlich Marek</t>
  </si>
  <si>
    <t>Posnar Petr</t>
  </si>
  <si>
    <t>Zapletal Jan</t>
  </si>
  <si>
    <t>Maršík Tomáš</t>
  </si>
  <si>
    <t>König Petr</t>
  </si>
  <si>
    <t>Košina Martin</t>
  </si>
  <si>
    <t>Oprchal Jan</t>
  </si>
  <si>
    <t>SKK Jeseník</t>
  </si>
  <si>
    <t>Dastych Ondřej</t>
  </si>
  <si>
    <t>Vysoké Mýto</t>
  </si>
  <si>
    <t>Matěj Ondřej</t>
  </si>
  <si>
    <t>Hanzl Denis</t>
  </si>
  <si>
    <t>Kůta Václav</t>
  </si>
  <si>
    <t>Dusbaba Přemysl</t>
  </si>
  <si>
    <t>Kříž Matyáš</t>
  </si>
  <si>
    <t>Hrbáček Jaroslav</t>
  </si>
  <si>
    <t>Richter Kryštof</t>
  </si>
  <si>
    <t>Červený Kostelec</t>
  </si>
  <si>
    <t>Procházka Josef</t>
  </si>
  <si>
    <t>SKK Třebechovice</t>
  </si>
  <si>
    <t>Kulda Lukáš</t>
  </si>
  <si>
    <t>Zálabák Smiřice</t>
  </si>
  <si>
    <t>Myšák Kristián</t>
  </si>
  <si>
    <t>Weiss Patrik</t>
  </si>
  <si>
    <t>Flaška Filip</t>
  </si>
  <si>
    <t>Dušek Michal</t>
  </si>
  <si>
    <t>Liška Ondřej</t>
  </si>
  <si>
    <t>Petráš Jakub</t>
  </si>
  <si>
    <t>Fejfar Adam</t>
  </si>
  <si>
    <t>Gregor Tomáš</t>
  </si>
  <si>
    <t>Zwiefelhofer David</t>
  </si>
  <si>
    <t>Rutar Vojtěch</t>
  </si>
  <si>
    <t>Oprysk Pavel</t>
  </si>
  <si>
    <t>Novotný Štěpán</t>
  </si>
  <si>
    <t>Srp Sebastian</t>
  </si>
  <si>
    <t>Vlček Matěj</t>
  </si>
  <si>
    <t>Rolf Jakub</t>
  </si>
  <si>
    <t>Váňa Jakub</t>
  </si>
  <si>
    <t>Drábek Sebastien</t>
  </si>
  <si>
    <t>Fejfar Matěj</t>
  </si>
  <si>
    <t>Novotný Patrik</t>
  </si>
  <si>
    <t>Matouš Marek</t>
  </si>
  <si>
    <t>Musil Patrik</t>
  </si>
  <si>
    <t>Smejkal Daniel</t>
  </si>
  <si>
    <t>Morávek Jan</t>
  </si>
  <si>
    <t>Hruška Jakub</t>
  </si>
  <si>
    <t>Adamů Jonáš</t>
  </si>
  <si>
    <t>Votroubek Max</t>
  </si>
  <si>
    <t>Šmídl Jiří</t>
  </si>
  <si>
    <t>Gregor Ondřej</t>
  </si>
  <si>
    <t>Dostál Kryštof</t>
  </si>
  <si>
    <t>Limberský Jan</t>
  </si>
  <si>
    <t>Červený Tadeáš</t>
  </si>
  <si>
    <t>Navrátil Štěpán</t>
  </si>
  <si>
    <t>23.</t>
  </si>
  <si>
    <t>24.</t>
  </si>
  <si>
    <t>25.</t>
  </si>
  <si>
    <t>26.</t>
  </si>
  <si>
    <t>27.</t>
  </si>
  <si>
    <t>28.</t>
  </si>
  <si>
    <t>29.</t>
  </si>
  <si>
    <t>30.</t>
  </si>
  <si>
    <t>Strakonice</t>
  </si>
  <si>
    <t>Rubášová Aneta</t>
  </si>
  <si>
    <t xml:space="preserve">TJ Sokol Kdyně </t>
  </si>
  <si>
    <t>21.8.2010</t>
  </si>
  <si>
    <t>Baťková Sofie</t>
  </si>
  <si>
    <t>TJ Blatná</t>
  </si>
  <si>
    <t>Haasová Růžena</t>
  </si>
  <si>
    <t>Fezko Strakonice</t>
  </si>
  <si>
    <t>Bartoňová Kamila</t>
  </si>
  <si>
    <t>TJ Sokol Chotoviny</t>
  </si>
  <si>
    <t>Vacková Marie</t>
  </si>
  <si>
    <t>Kuželky Borovany</t>
  </si>
  <si>
    <t>Jechová Lucie</t>
  </si>
  <si>
    <t>Kotlíková Zuzana</t>
  </si>
  <si>
    <t>Petr Jindřich</t>
  </si>
  <si>
    <t>SKK Rokycany</t>
  </si>
  <si>
    <t>Köriš Antonín</t>
  </si>
  <si>
    <t>Štauber Marek</t>
  </si>
  <si>
    <t>Fidrant Josef</t>
  </si>
  <si>
    <t>TJ Sokol Kdyně</t>
  </si>
  <si>
    <t>11.12.2011</t>
  </si>
  <si>
    <t>Gondek Matěj</t>
  </si>
  <si>
    <t>Vltavan Loučovice</t>
  </si>
  <si>
    <t>18.10.2011</t>
  </si>
  <si>
    <t>Cafourek Matyáš</t>
  </si>
  <si>
    <t>17.6.2012</t>
  </si>
  <si>
    <t>Weck Ondřej</t>
  </si>
  <si>
    <t>Hajník Vojtěch</t>
  </si>
  <si>
    <t>Kupar Vít</t>
  </si>
  <si>
    <t>Fidrant Jakub</t>
  </si>
  <si>
    <t>30.12.2013</t>
  </si>
  <si>
    <t>Staněk Antonín</t>
  </si>
  <si>
    <t>Zlín</t>
  </si>
  <si>
    <t>Novotná Anna</t>
  </si>
  <si>
    <t>Baník Ratíškovice</t>
  </si>
  <si>
    <t>Kotásková Nathalie</t>
  </si>
  <si>
    <t>Buchlovská Šarlota</t>
  </si>
  <si>
    <t>Unie Hlubina</t>
  </si>
  <si>
    <t>Krejčí Anna</t>
  </si>
  <si>
    <t>Spartak Přerov</t>
  </si>
  <si>
    <t>Růžičková Beáta</t>
  </si>
  <si>
    <t>Jelínková Kateřina</t>
  </si>
  <si>
    <t>TJ Horní Benešov</t>
  </si>
  <si>
    <t>Košuličová Justýna</t>
  </si>
  <si>
    <t>Bastová Petra</t>
  </si>
  <si>
    <t>Fukanová Adriana</t>
  </si>
  <si>
    <t>Čížková Magdaléna</t>
  </si>
  <si>
    <t>Jüstelová Vendula</t>
  </si>
  <si>
    <t>TJ Opava</t>
  </si>
  <si>
    <t>Rybková Amálie</t>
  </si>
  <si>
    <t>TJ Valašské Meziříčí</t>
  </si>
  <si>
    <t>Kretová Adéla</t>
  </si>
  <si>
    <t>Šebková Tereza</t>
  </si>
  <si>
    <t>Jančinová Gabriela</t>
  </si>
  <si>
    <t>VKK Vsetín</t>
  </si>
  <si>
    <t>Daňková Petra</t>
  </si>
  <si>
    <t>Fialová Vivien</t>
  </si>
  <si>
    <t>Jančinová Tamara</t>
  </si>
  <si>
    <t>Dvorská Simona</t>
  </si>
  <si>
    <t>TJ Odry</t>
  </si>
  <si>
    <t>Schüllerová Magdaléna</t>
  </si>
  <si>
    <t>Surovčáková Nikola</t>
  </si>
  <si>
    <t>Vejmola Patrik</t>
  </si>
  <si>
    <t>KK Šumperk</t>
  </si>
  <si>
    <t>Koch Tadeáš</t>
  </si>
  <si>
    <t>Dedík Filip</t>
  </si>
  <si>
    <t>Kostelný Dominik</t>
  </si>
  <si>
    <t>Kuchař Rostislav</t>
  </si>
  <si>
    <t>Dočkal Pavel</t>
  </si>
  <si>
    <t>Honl Jakub</t>
  </si>
  <si>
    <t>Sokol Bohumín</t>
  </si>
  <si>
    <t>Urban Patrik</t>
  </si>
  <si>
    <t>Vrba Michal</t>
  </si>
  <si>
    <t>Sokol Luhačovice</t>
  </si>
  <si>
    <t>Kancner Michal</t>
  </si>
  <si>
    <t>Piterka Sebastien</t>
  </si>
  <si>
    <t>Jiskra Rýmařov</t>
  </si>
  <si>
    <t>Závrbský Jonáš</t>
  </si>
  <si>
    <t>Vrba Štěpán</t>
  </si>
  <si>
    <t>Čermák Miroslav</t>
  </si>
  <si>
    <t>Svoboda Tomáš</t>
  </si>
  <si>
    <t>Greš Kryštof</t>
  </si>
  <si>
    <t>Bajgar Sebastian</t>
  </si>
  <si>
    <t>Minařík Josef</t>
  </si>
  <si>
    <t>Opěla Petr</t>
  </si>
  <si>
    <t>Piska Josef</t>
  </si>
  <si>
    <t>Novotný Mikuláš</t>
  </si>
  <si>
    <t>Bršťák Martin</t>
  </si>
  <si>
    <t>Maiwald Antonín</t>
  </si>
  <si>
    <t>Samiec Štěpán</t>
  </si>
  <si>
    <t>Malina Tomáš</t>
  </si>
  <si>
    <t>Těžký Václav</t>
  </si>
  <si>
    <t>Kolla Jindřich</t>
  </si>
  <si>
    <t>HKK Olomouc</t>
  </si>
  <si>
    <t>Heinik Sebastian</t>
  </si>
  <si>
    <t>Sitař Filip</t>
  </si>
  <si>
    <t>Šišma Sebastian</t>
  </si>
  <si>
    <t>KK Vyškov</t>
  </si>
  <si>
    <t>Šebesta Adam</t>
  </si>
  <si>
    <t>Kratina Matyáš</t>
  </si>
  <si>
    <t>Harazim Štěpán</t>
  </si>
  <si>
    <t>Čuba Alex</t>
  </si>
  <si>
    <t>Ožana Kajetán</t>
  </si>
  <si>
    <t>Gomaa Hakim</t>
  </si>
  <si>
    <t>Šnajdr Tomáš</t>
  </si>
  <si>
    <t>Redek Jakub</t>
  </si>
  <si>
    <t>Šišma Fabian</t>
  </si>
  <si>
    <t>Dusík Jaroslav</t>
  </si>
  <si>
    <t>Mladčí žáci</t>
  </si>
  <si>
    <t>32.</t>
  </si>
  <si>
    <t>33.</t>
  </si>
  <si>
    <t>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</si>
</sst>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8" x14ac:knownFonts="1">
    <font>
      <sz val="11"/>
      <color theme="1"/>
      <name val="Aptos Narrow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64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 style="medium">
        <color indexed="64"/>
      </right>
      <top/>
      <bottom style="medium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18" xfId="0" applyFont="1" applyFill="1" applyBorder="1" applyAlignment="1">
      <alignment horizontal="left" vertical="center" indent="1"/>
    </xf>
    <xf numFmtId="164" fontId="3" fillId="2" borderId="21" xfId="0" applyNumberFormat="1" applyFont="1" applyFill="1" applyBorder="1" applyAlignment="1">
      <alignment horizontal="center" vertical="center"/>
    </xf>
    <xf numFmtId="0" fontId="1" fillId="0" borderId="21" xfId="0" applyFont="1" applyBorder="1" applyProtection="1">
      <protection locked="0"/>
    </xf>
    <xf numFmtId="1" fontId="1" fillId="0" borderId="21" xfId="0" applyNumberFormat="1" applyFont="1" applyBorder="1" applyAlignment="1" applyProtection="1">
      <alignment horizontal="center"/>
      <protection locked="0"/>
    </xf>
    <xf numFmtId="14" fontId="1" fillId="0" borderId="21" xfId="0" applyNumberFormat="1" applyFont="1" applyBorder="1" applyAlignment="1" applyProtection="1">
      <alignment horizontal="center"/>
      <protection locked="0"/>
    </xf>
    <xf numFmtId="0" fontId="1" fillId="2" borderId="22" xfId="0" applyFont="1" applyFill="1" applyBorder="1" applyAlignment="1">
      <alignment horizontal="center"/>
    </xf>
    <xf numFmtId="0" fontId="1" fillId="0" borderId="21" xfId="0" applyFont="1" applyBorder="1" applyAlignment="1" applyProtection="1">
      <alignment horizontal="center"/>
      <protection locked="0"/>
    </xf>
    <xf numFmtId="14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21" xfId="0" quotePrefix="1" applyFont="1" applyBorder="1" applyAlignment="1" applyProtection="1">
      <alignment horizontal="left"/>
      <protection locked="0"/>
    </xf>
    <xf numFmtId="1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 applyProtection="1">
      <alignment vertical="center"/>
      <protection locked="0"/>
    </xf>
    <xf numFmtId="1" fontId="1" fillId="0" borderId="21" xfId="0" applyNumberFormat="1" applyFont="1" applyBorder="1" applyAlignment="1" applyProtection="1">
      <alignment horizontal="center" vertical="center"/>
      <protection locked="0"/>
    </xf>
    <xf numFmtId="164" fontId="6" fillId="2" borderId="21" xfId="0" applyNumberFormat="1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0" fontId="1" fillId="0" borderId="22" xfId="0" applyFont="1" applyBorder="1" applyProtection="1">
      <protection locked="0"/>
    </xf>
    <xf numFmtId="1" fontId="1" fillId="0" borderId="22" xfId="0" applyNumberFormat="1" applyFont="1" applyBorder="1" applyAlignment="1" applyProtection="1">
      <alignment horizontal="center"/>
      <protection locked="0"/>
    </xf>
    <xf numFmtId="14" fontId="1" fillId="0" borderId="22" xfId="0" applyNumberFormat="1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1" fillId="0" borderId="26" xfId="0" applyFont="1" applyBorder="1" applyProtection="1">
      <protection locked="0"/>
    </xf>
    <xf numFmtId="1" fontId="1" fillId="0" borderId="26" xfId="0" applyNumberFormat="1" applyFont="1" applyBorder="1" applyAlignment="1" applyProtection="1">
      <alignment horizontal="center"/>
      <protection locked="0"/>
    </xf>
    <xf numFmtId="14" fontId="1" fillId="0" borderId="26" xfId="0" applyNumberFormat="1" applyFont="1" applyBorder="1" applyAlignment="1" applyProtection="1">
      <alignment horizontal="center"/>
      <protection locked="0"/>
    </xf>
    <xf numFmtId="0" fontId="1" fillId="2" borderId="27" xfId="0" applyFont="1" applyFill="1" applyBorder="1" applyAlignment="1">
      <alignment horizontal="center"/>
    </xf>
    <xf numFmtId="0" fontId="1" fillId="0" borderId="26" xfId="0" applyFont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>
      <alignment horizontal="center" vertical="center"/>
    </xf>
    <xf numFmtId="0" fontId="1" fillId="0" borderId="27" xfId="0" applyFont="1" applyBorder="1" applyProtection="1">
      <protection locked="0"/>
    </xf>
    <xf numFmtId="1" fontId="1" fillId="0" borderId="27" xfId="0" applyNumberFormat="1" applyFont="1" applyBorder="1" applyAlignment="1" applyProtection="1">
      <alignment horizontal="center"/>
      <protection locked="0"/>
    </xf>
    <xf numFmtId="14" fontId="1" fillId="0" borderId="27" xfId="0" applyNumberFormat="1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3" borderId="26" xfId="0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1" fontId="1" fillId="0" borderId="22" xfId="0" applyNumberFormat="1" applyFont="1" applyBorder="1" applyAlignment="1" applyProtection="1">
      <alignment horizontal="center" vertical="center"/>
      <protection locked="0"/>
    </xf>
    <xf numFmtId="14" fontId="1" fillId="0" borderId="22" xfId="0" applyNumberFormat="1" applyFont="1" applyBorder="1" applyAlignment="1" applyProtection="1">
      <alignment horizontal="center" vertical="center"/>
      <protection locked="0"/>
    </xf>
    <xf numFmtId="164" fontId="3" fillId="2" borderId="26" xfId="0" applyNumberFormat="1" applyFont="1" applyFill="1" applyBorder="1" applyAlignment="1">
      <alignment horizontal="center" vertical="center"/>
    </xf>
    <xf numFmtId="0" fontId="1" fillId="0" borderId="26" xfId="0" quotePrefix="1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vertical="center"/>
      <protection locked="0"/>
    </xf>
    <xf numFmtId="1" fontId="1" fillId="0" borderId="26" xfId="0" applyNumberFormat="1" applyFont="1" applyBorder="1" applyAlignment="1" applyProtection="1">
      <alignment horizontal="center" vertical="center"/>
      <protection locked="0"/>
    </xf>
    <xf numFmtId="14" fontId="1" fillId="0" borderId="26" xfId="0" applyNumberFormat="1" applyFont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164" fontId="7" fillId="2" borderId="2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19" xfId="0" applyFont="1" applyFill="1" applyBorder="1" applyAlignment="1">
      <alignment horizontal="center" vertical="center" textRotation="90"/>
    </xf>
    <xf numFmtId="0" fontId="1" fillId="2" borderId="15" xfId="0" applyFont="1" applyFill="1" applyBorder="1" applyAlignment="1">
      <alignment horizontal="center" vertical="center" textRotation="90"/>
    </xf>
    <xf numFmtId="0" fontId="1" fillId="2" borderId="20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indent="1"/>
    </xf>
    <xf numFmtId="0" fontId="1" fillId="2" borderId="17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9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28" xfId="0" applyFont="1" applyFill="1" applyBorder="1" applyAlignment="1">
      <alignment horizontal="center" vertical="center" textRotation="90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left" indent="1"/>
    </xf>
    <xf numFmtId="14" fontId="1" fillId="2" borderId="10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454D-CBB9-4919-9406-4C57C3C2AE63}">
  <dimension ref="A1:P85"/>
  <sheetViews>
    <sheetView tabSelected="1" workbookViewId="0">
      <selection activeCell="A86" sqref="A86"/>
    </sheetView>
  </sheetViews>
  <sheetFormatPr defaultRowHeight="14.4" x14ac:dyDescent="0.3"/>
  <cols>
    <col min="2" max="2" width="18.6640625" customWidth="1"/>
    <col min="3" max="3" width="18.5546875" customWidth="1"/>
    <col min="5" max="5" width="0" hidden="1" customWidth="1"/>
  </cols>
  <sheetData>
    <row r="1" spans="1:16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4"/>
    </row>
    <row r="2" spans="1:16" x14ac:dyDescent="0.3">
      <c r="A2" s="55"/>
      <c r="B2" s="56"/>
      <c r="C2" s="56"/>
      <c r="D2" s="56"/>
      <c r="E2" s="56"/>
      <c r="F2" s="56"/>
      <c r="G2" s="56"/>
      <c r="H2" s="56"/>
      <c r="I2" s="56"/>
      <c r="J2" s="57"/>
    </row>
    <row r="3" spans="1:16" x14ac:dyDescent="0.3">
      <c r="A3" s="55"/>
      <c r="B3" s="56"/>
      <c r="C3" s="56"/>
      <c r="D3" s="56"/>
      <c r="E3" s="56"/>
      <c r="F3" s="56"/>
      <c r="G3" s="56"/>
      <c r="H3" s="56"/>
      <c r="I3" s="56"/>
      <c r="J3" s="57"/>
    </row>
    <row r="4" spans="1:16" ht="15" thickBot="1" x14ac:dyDescent="0.35">
      <c r="A4" s="58"/>
      <c r="B4" s="59"/>
      <c r="C4" s="59"/>
      <c r="D4" s="59"/>
      <c r="E4" s="59"/>
      <c r="F4" s="59"/>
      <c r="G4" s="59"/>
      <c r="H4" s="59"/>
      <c r="I4" s="59"/>
      <c r="J4" s="60"/>
    </row>
    <row r="5" spans="1:16" ht="15" thickBot="1" x14ac:dyDescent="0.35">
      <c r="A5" s="61"/>
      <c r="B5" s="63" t="s">
        <v>1</v>
      </c>
      <c r="C5" s="65" t="s">
        <v>2</v>
      </c>
      <c r="D5" s="46" t="s">
        <v>3</v>
      </c>
      <c r="E5" s="67" t="s">
        <v>4</v>
      </c>
      <c r="F5" s="46" t="s">
        <v>5</v>
      </c>
      <c r="G5" s="48" t="s">
        <v>6</v>
      </c>
      <c r="H5" s="48" t="s">
        <v>7</v>
      </c>
      <c r="I5" s="48" t="s">
        <v>8</v>
      </c>
      <c r="J5" s="50" t="s">
        <v>9</v>
      </c>
    </row>
    <row r="6" spans="1:16" ht="15" thickBot="1" x14ac:dyDescent="0.35">
      <c r="A6" s="61"/>
      <c r="B6" s="63"/>
      <c r="C6" s="66"/>
      <c r="D6" s="46"/>
      <c r="E6" s="67"/>
      <c r="F6" s="46"/>
      <c r="G6" s="48"/>
      <c r="H6" s="48"/>
      <c r="I6" s="48"/>
      <c r="J6" s="50"/>
    </row>
    <row r="7" spans="1:16" ht="15" thickBot="1" x14ac:dyDescent="0.35">
      <c r="A7" s="62"/>
      <c r="B7" s="64"/>
      <c r="C7" s="1"/>
      <c r="D7" s="47"/>
      <c r="E7" s="68"/>
      <c r="F7" s="47"/>
      <c r="G7" s="49"/>
      <c r="H7" s="49"/>
      <c r="I7" s="49"/>
      <c r="J7" s="51"/>
    </row>
    <row r="8" spans="1:16" ht="19.2" customHeight="1" thickBot="1" x14ac:dyDescent="0.35">
      <c r="A8" s="40" t="s">
        <v>110</v>
      </c>
      <c r="B8" s="41"/>
      <c r="C8" s="41"/>
      <c r="D8" s="41"/>
      <c r="E8" s="41"/>
      <c r="F8" s="41"/>
      <c r="G8" s="41"/>
      <c r="H8" s="41"/>
      <c r="I8" s="41"/>
      <c r="J8" s="42"/>
    </row>
    <row r="9" spans="1:16" x14ac:dyDescent="0.3">
      <c r="A9" s="14" t="s">
        <v>111</v>
      </c>
      <c r="B9" s="15" t="s">
        <v>10</v>
      </c>
      <c r="C9" s="15" t="s">
        <v>11</v>
      </c>
      <c r="D9" s="16">
        <v>27181</v>
      </c>
      <c r="E9" s="17">
        <v>40950</v>
      </c>
      <c r="F9" s="17" t="s">
        <v>12</v>
      </c>
      <c r="G9" s="6">
        <f t="shared" ref="G9:G75" si="0">IF(OR(ISBLANK($H9))," ",H9+I9)</f>
        <v>304</v>
      </c>
      <c r="H9" s="18">
        <v>189</v>
      </c>
      <c r="I9" s="18">
        <v>115</v>
      </c>
      <c r="J9" s="18">
        <v>2</v>
      </c>
      <c r="P9" s="19"/>
    </row>
    <row r="10" spans="1:16" x14ac:dyDescent="0.3">
      <c r="A10" s="2" t="s">
        <v>112</v>
      </c>
      <c r="B10" s="3" t="s">
        <v>13</v>
      </c>
      <c r="C10" s="3" t="s">
        <v>14</v>
      </c>
      <c r="D10" s="4">
        <v>26812</v>
      </c>
      <c r="E10" s="5">
        <v>40669</v>
      </c>
      <c r="F10" s="5" t="s">
        <v>12</v>
      </c>
      <c r="G10" s="6">
        <f t="shared" si="0"/>
        <v>282</v>
      </c>
      <c r="H10" s="7">
        <v>184</v>
      </c>
      <c r="I10" s="7">
        <v>98</v>
      </c>
      <c r="J10" s="7">
        <v>3</v>
      </c>
    </row>
    <row r="11" spans="1:16" x14ac:dyDescent="0.3">
      <c r="A11" s="2" t="s">
        <v>113</v>
      </c>
      <c r="B11" s="3" t="s">
        <v>15</v>
      </c>
      <c r="C11" s="3" t="s">
        <v>16</v>
      </c>
      <c r="D11" s="4">
        <v>27487</v>
      </c>
      <c r="E11" s="5">
        <v>40915</v>
      </c>
      <c r="F11" s="5" t="s">
        <v>12</v>
      </c>
      <c r="G11" s="6">
        <f t="shared" si="0"/>
        <v>277</v>
      </c>
      <c r="H11" s="7">
        <v>189</v>
      </c>
      <c r="I11" s="7">
        <v>88</v>
      </c>
      <c r="J11" s="7">
        <v>4</v>
      </c>
    </row>
    <row r="12" spans="1:16" x14ac:dyDescent="0.3">
      <c r="A12" s="13" t="s">
        <v>114</v>
      </c>
      <c r="B12" s="3" t="s">
        <v>17</v>
      </c>
      <c r="C12" s="3" t="s">
        <v>18</v>
      </c>
      <c r="D12" s="4">
        <v>27694</v>
      </c>
      <c r="E12" s="5">
        <v>40476</v>
      </c>
      <c r="F12" s="5" t="s">
        <v>12</v>
      </c>
      <c r="G12" s="6">
        <f t="shared" si="0"/>
        <v>274</v>
      </c>
      <c r="H12" s="7">
        <v>188</v>
      </c>
      <c r="I12" s="7">
        <v>86</v>
      </c>
      <c r="J12" s="7">
        <v>5</v>
      </c>
    </row>
    <row r="13" spans="1:16" x14ac:dyDescent="0.3">
      <c r="A13" s="13" t="s">
        <v>115</v>
      </c>
      <c r="B13" s="3" t="s">
        <v>19</v>
      </c>
      <c r="C13" s="3" t="s">
        <v>20</v>
      </c>
      <c r="D13" s="4">
        <v>27213</v>
      </c>
      <c r="E13" s="5">
        <v>40934</v>
      </c>
      <c r="F13" s="5" t="s">
        <v>12</v>
      </c>
      <c r="G13" s="6">
        <f t="shared" si="0"/>
        <v>265</v>
      </c>
      <c r="H13" s="7">
        <v>176</v>
      </c>
      <c r="I13" s="7">
        <v>89</v>
      </c>
      <c r="J13" s="7">
        <v>5</v>
      </c>
    </row>
    <row r="14" spans="1:16" x14ac:dyDescent="0.3">
      <c r="A14" s="13" t="s">
        <v>116</v>
      </c>
      <c r="B14" s="3" t="s">
        <v>21</v>
      </c>
      <c r="C14" s="3" t="s">
        <v>22</v>
      </c>
      <c r="D14" s="4">
        <v>27259</v>
      </c>
      <c r="E14" s="5">
        <v>40487</v>
      </c>
      <c r="F14" s="5" t="s">
        <v>12</v>
      </c>
      <c r="G14" s="6">
        <f t="shared" si="0"/>
        <v>262</v>
      </c>
      <c r="H14" s="7">
        <v>181</v>
      </c>
      <c r="I14" s="7">
        <v>81</v>
      </c>
      <c r="J14" s="7">
        <v>3</v>
      </c>
    </row>
    <row r="15" spans="1:16" x14ac:dyDescent="0.3">
      <c r="A15" s="13" t="s">
        <v>117</v>
      </c>
      <c r="B15" s="3" t="s">
        <v>23</v>
      </c>
      <c r="C15" s="3" t="s">
        <v>22</v>
      </c>
      <c r="D15" s="4">
        <v>27237</v>
      </c>
      <c r="E15" s="5">
        <v>40484</v>
      </c>
      <c r="F15" s="5" t="s">
        <v>12</v>
      </c>
      <c r="G15" s="6">
        <f t="shared" si="0"/>
        <v>260</v>
      </c>
      <c r="H15" s="7">
        <v>187</v>
      </c>
      <c r="I15" s="7">
        <v>73</v>
      </c>
      <c r="J15" s="7">
        <v>9</v>
      </c>
    </row>
    <row r="16" spans="1:16" x14ac:dyDescent="0.3">
      <c r="A16" s="13" t="s">
        <v>118</v>
      </c>
      <c r="B16" s="3" t="s">
        <v>24</v>
      </c>
      <c r="C16" s="3" t="s">
        <v>25</v>
      </c>
      <c r="D16" s="4">
        <v>27210</v>
      </c>
      <c r="E16" s="5">
        <v>40592</v>
      </c>
      <c r="F16" s="5" t="s">
        <v>12</v>
      </c>
      <c r="G16" s="6">
        <f t="shared" si="0"/>
        <v>251</v>
      </c>
      <c r="H16" s="7">
        <v>182</v>
      </c>
      <c r="I16" s="7">
        <v>69</v>
      </c>
      <c r="J16" s="7">
        <v>3</v>
      </c>
    </row>
    <row r="17" spans="1:10" x14ac:dyDescent="0.3">
      <c r="A17" s="13" t="s">
        <v>119</v>
      </c>
      <c r="B17" s="3" t="s">
        <v>26</v>
      </c>
      <c r="C17" s="3" t="s">
        <v>14</v>
      </c>
      <c r="D17" s="4">
        <v>27314</v>
      </c>
      <c r="E17" s="5">
        <v>40646</v>
      </c>
      <c r="F17" s="5" t="s">
        <v>12</v>
      </c>
      <c r="G17" s="6">
        <f t="shared" si="0"/>
        <v>249</v>
      </c>
      <c r="H17" s="7">
        <v>174</v>
      </c>
      <c r="I17" s="7">
        <v>75</v>
      </c>
      <c r="J17" s="7">
        <v>10</v>
      </c>
    </row>
    <row r="18" spans="1:10" x14ac:dyDescent="0.3">
      <c r="A18" s="13" t="s">
        <v>120</v>
      </c>
      <c r="B18" s="3" t="s">
        <v>27</v>
      </c>
      <c r="C18" s="3" t="s">
        <v>25</v>
      </c>
      <c r="D18" s="4">
        <v>27906</v>
      </c>
      <c r="E18" s="5">
        <v>41072</v>
      </c>
      <c r="F18" s="5" t="s">
        <v>12</v>
      </c>
      <c r="G18" s="6">
        <f t="shared" si="0"/>
        <v>249</v>
      </c>
      <c r="H18" s="7">
        <v>179</v>
      </c>
      <c r="I18" s="7">
        <v>70</v>
      </c>
      <c r="J18" s="7">
        <v>6</v>
      </c>
    </row>
    <row r="19" spans="1:10" x14ac:dyDescent="0.3">
      <c r="A19" s="13" t="s">
        <v>121</v>
      </c>
      <c r="B19" s="3" t="s">
        <v>28</v>
      </c>
      <c r="C19" s="3" t="s">
        <v>29</v>
      </c>
      <c r="D19" s="4">
        <v>26615</v>
      </c>
      <c r="E19" s="5">
        <v>40741</v>
      </c>
      <c r="F19" s="8" t="s">
        <v>12</v>
      </c>
      <c r="G19" s="6">
        <f t="shared" si="0"/>
        <v>247</v>
      </c>
      <c r="H19" s="7">
        <v>185</v>
      </c>
      <c r="I19" s="7">
        <v>62</v>
      </c>
      <c r="J19" s="7">
        <v>8</v>
      </c>
    </row>
    <row r="20" spans="1:10" x14ac:dyDescent="0.3">
      <c r="A20" s="13" t="s">
        <v>122</v>
      </c>
      <c r="B20" s="3" t="s">
        <v>30</v>
      </c>
      <c r="C20" s="9" t="s">
        <v>31</v>
      </c>
      <c r="D20" s="4">
        <v>26413</v>
      </c>
      <c r="E20" s="5">
        <v>40372</v>
      </c>
      <c r="F20" s="5" t="s">
        <v>12</v>
      </c>
      <c r="G20" s="6">
        <f t="shared" si="0"/>
        <v>244</v>
      </c>
      <c r="H20" s="7">
        <v>174</v>
      </c>
      <c r="I20" s="7">
        <v>70</v>
      </c>
      <c r="J20" s="7">
        <v>6</v>
      </c>
    </row>
    <row r="21" spans="1:10" x14ac:dyDescent="0.3">
      <c r="A21" s="13" t="s">
        <v>123</v>
      </c>
      <c r="B21" s="3" t="s">
        <v>32</v>
      </c>
      <c r="C21" s="3" t="s">
        <v>11</v>
      </c>
      <c r="D21" s="4">
        <v>27154</v>
      </c>
      <c r="E21" s="5">
        <v>40597</v>
      </c>
      <c r="F21" s="5" t="s">
        <v>12</v>
      </c>
      <c r="G21" s="6">
        <f t="shared" si="0"/>
        <v>243</v>
      </c>
      <c r="H21" s="7">
        <v>170</v>
      </c>
      <c r="I21" s="7">
        <v>73</v>
      </c>
      <c r="J21" s="7">
        <v>9</v>
      </c>
    </row>
    <row r="22" spans="1:10" x14ac:dyDescent="0.3">
      <c r="A22" s="13" t="s">
        <v>124</v>
      </c>
      <c r="B22" s="3" t="s">
        <v>33</v>
      </c>
      <c r="C22" s="3" t="s">
        <v>25</v>
      </c>
      <c r="D22" s="4">
        <v>27208</v>
      </c>
      <c r="E22" s="5">
        <v>40977</v>
      </c>
      <c r="F22" s="5" t="s">
        <v>12</v>
      </c>
      <c r="G22" s="6">
        <f t="shared" si="0"/>
        <v>232</v>
      </c>
      <c r="H22" s="7">
        <v>172</v>
      </c>
      <c r="I22" s="7">
        <v>60</v>
      </c>
      <c r="J22" s="7">
        <v>9</v>
      </c>
    </row>
    <row r="23" spans="1:10" x14ac:dyDescent="0.3">
      <c r="A23" s="13" t="s">
        <v>125</v>
      </c>
      <c r="B23" s="3" t="s">
        <v>34</v>
      </c>
      <c r="C23" s="3" t="s">
        <v>14</v>
      </c>
      <c r="D23" s="4">
        <v>27309</v>
      </c>
      <c r="E23" s="5">
        <v>40834</v>
      </c>
      <c r="F23" s="5" t="s">
        <v>12</v>
      </c>
      <c r="G23" s="6">
        <f t="shared" si="0"/>
        <v>227</v>
      </c>
      <c r="H23" s="7">
        <v>157</v>
      </c>
      <c r="I23" s="7">
        <v>70</v>
      </c>
      <c r="J23" s="7">
        <v>10</v>
      </c>
    </row>
    <row r="24" spans="1:10" x14ac:dyDescent="0.3">
      <c r="A24" s="13" t="s">
        <v>126</v>
      </c>
      <c r="B24" s="3" t="s">
        <v>35</v>
      </c>
      <c r="C24" s="3" t="s">
        <v>36</v>
      </c>
      <c r="D24" s="4">
        <v>27515</v>
      </c>
      <c r="E24" s="5" t="s">
        <v>37</v>
      </c>
      <c r="F24" s="5" t="s">
        <v>12</v>
      </c>
      <c r="G24" s="6">
        <f t="shared" si="0"/>
        <v>217</v>
      </c>
      <c r="H24" s="7">
        <v>178</v>
      </c>
      <c r="I24" s="7">
        <v>39</v>
      </c>
      <c r="J24" s="7">
        <v>17</v>
      </c>
    </row>
    <row r="25" spans="1:10" x14ac:dyDescent="0.3">
      <c r="A25" s="13" t="s">
        <v>127</v>
      </c>
      <c r="B25" s="3" t="s">
        <v>38</v>
      </c>
      <c r="C25" s="3" t="s">
        <v>31</v>
      </c>
      <c r="D25" s="4">
        <v>26803</v>
      </c>
      <c r="E25" s="5">
        <v>40555</v>
      </c>
      <c r="F25" s="5" t="s">
        <v>12</v>
      </c>
      <c r="G25" s="6">
        <f t="shared" si="0"/>
        <v>206</v>
      </c>
      <c r="H25" s="7">
        <v>153</v>
      </c>
      <c r="I25" s="7">
        <v>53</v>
      </c>
      <c r="J25" s="7">
        <v>12</v>
      </c>
    </row>
    <row r="26" spans="1:10" ht="15" thickBot="1" x14ac:dyDescent="0.35">
      <c r="A26" s="20" t="s">
        <v>128</v>
      </c>
      <c r="B26" s="21" t="s">
        <v>39</v>
      </c>
      <c r="C26" s="21" t="s">
        <v>40</v>
      </c>
      <c r="D26" s="22">
        <v>27457</v>
      </c>
      <c r="E26" s="23">
        <v>40787</v>
      </c>
      <c r="F26" s="23" t="s">
        <v>12</v>
      </c>
      <c r="G26" s="24">
        <f t="shared" si="0"/>
        <v>188</v>
      </c>
      <c r="H26" s="25">
        <v>136</v>
      </c>
      <c r="I26" s="25">
        <v>52</v>
      </c>
      <c r="J26" s="25">
        <v>10</v>
      </c>
    </row>
    <row r="27" spans="1:10" ht="18.600000000000001" customHeight="1" thickBot="1" x14ac:dyDescent="0.35">
      <c r="A27" s="43" t="s">
        <v>129</v>
      </c>
      <c r="B27" s="44"/>
      <c r="C27" s="44"/>
      <c r="D27" s="44"/>
      <c r="E27" s="44"/>
      <c r="F27" s="44"/>
      <c r="G27" s="44"/>
      <c r="H27" s="44"/>
      <c r="I27" s="44"/>
      <c r="J27" s="45"/>
    </row>
    <row r="28" spans="1:10" x14ac:dyDescent="0.3">
      <c r="A28" s="14" t="s">
        <v>111</v>
      </c>
      <c r="B28" s="15" t="s">
        <v>41</v>
      </c>
      <c r="C28" s="15" t="s">
        <v>36</v>
      </c>
      <c r="D28" s="16">
        <v>27185</v>
      </c>
      <c r="E28" s="17" t="s">
        <v>42</v>
      </c>
      <c r="F28" s="17" t="s">
        <v>43</v>
      </c>
      <c r="G28" s="6">
        <f t="shared" si="0"/>
        <v>282</v>
      </c>
      <c r="H28" s="18">
        <v>191</v>
      </c>
      <c r="I28" s="18">
        <v>91</v>
      </c>
      <c r="J28" s="18">
        <v>3</v>
      </c>
    </row>
    <row r="29" spans="1:10" x14ac:dyDescent="0.3">
      <c r="A29" s="2" t="s">
        <v>112</v>
      </c>
      <c r="B29" s="3" t="s">
        <v>44</v>
      </c>
      <c r="C29" s="3" t="s">
        <v>14</v>
      </c>
      <c r="D29" s="4">
        <v>27307</v>
      </c>
      <c r="E29" s="5">
        <v>41259</v>
      </c>
      <c r="F29" s="5" t="s">
        <v>43</v>
      </c>
      <c r="G29" s="6">
        <f t="shared" si="0"/>
        <v>270</v>
      </c>
      <c r="H29" s="7">
        <v>171</v>
      </c>
      <c r="I29" s="7">
        <v>99</v>
      </c>
      <c r="J29" s="7">
        <v>5</v>
      </c>
    </row>
    <row r="30" spans="1:10" x14ac:dyDescent="0.3">
      <c r="A30" s="2" t="s">
        <v>113</v>
      </c>
      <c r="B30" s="3" t="s">
        <v>45</v>
      </c>
      <c r="C30" s="3" t="s">
        <v>36</v>
      </c>
      <c r="D30" s="4">
        <v>28311</v>
      </c>
      <c r="E30" s="5" t="s">
        <v>46</v>
      </c>
      <c r="F30" s="5" t="s">
        <v>43</v>
      </c>
      <c r="G30" s="6">
        <f t="shared" si="0"/>
        <v>261</v>
      </c>
      <c r="H30" s="7">
        <v>171</v>
      </c>
      <c r="I30" s="7">
        <v>90</v>
      </c>
      <c r="J30" s="7">
        <v>6</v>
      </c>
    </row>
    <row r="31" spans="1:10" x14ac:dyDescent="0.3">
      <c r="A31" s="13" t="s">
        <v>114</v>
      </c>
      <c r="B31" s="3" t="s">
        <v>47</v>
      </c>
      <c r="C31" s="3" t="s">
        <v>18</v>
      </c>
      <c r="D31" s="4">
        <v>28152</v>
      </c>
      <c r="E31" s="5">
        <v>41704</v>
      </c>
      <c r="F31" s="5" t="s">
        <v>43</v>
      </c>
      <c r="G31" s="6">
        <f t="shared" si="0"/>
        <v>259</v>
      </c>
      <c r="H31" s="7">
        <v>167</v>
      </c>
      <c r="I31" s="7">
        <v>92</v>
      </c>
      <c r="J31" s="7">
        <v>7</v>
      </c>
    </row>
    <row r="32" spans="1:10" x14ac:dyDescent="0.3">
      <c r="A32" s="13" t="s">
        <v>115</v>
      </c>
      <c r="B32" s="3" t="s">
        <v>48</v>
      </c>
      <c r="C32" s="3" t="s">
        <v>20</v>
      </c>
      <c r="D32" s="4">
        <v>27587</v>
      </c>
      <c r="E32" s="5">
        <v>41573</v>
      </c>
      <c r="F32" s="5" t="s">
        <v>43</v>
      </c>
      <c r="G32" s="6">
        <f t="shared" si="0"/>
        <v>252</v>
      </c>
      <c r="H32" s="7">
        <v>166</v>
      </c>
      <c r="I32" s="7">
        <v>86</v>
      </c>
      <c r="J32" s="7">
        <v>7</v>
      </c>
    </row>
    <row r="33" spans="1:10" x14ac:dyDescent="0.3">
      <c r="A33" s="13" t="s">
        <v>116</v>
      </c>
      <c r="B33" s="3" t="s">
        <v>49</v>
      </c>
      <c r="C33" s="3" t="s">
        <v>18</v>
      </c>
      <c r="D33" s="4">
        <v>27882</v>
      </c>
      <c r="E33" s="5">
        <v>41635</v>
      </c>
      <c r="F33" s="5" t="s">
        <v>43</v>
      </c>
      <c r="G33" s="6">
        <f t="shared" si="0"/>
        <v>250</v>
      </c>
      <c r="H33" s="7">
        <v>164</v>
      </c>
      <c r="I33" s="7">
        <v>86</v>
      </c>
      <c r="J33" s="7">
        <v>8</v>
      </c>
    </row>
    <row r="34" spans="1:10" x14ac:dyDescent="0.3">
      <c r="A34" s="13" t="s">
        <v>117</v>
      </c>
      <c r="B34" s="3" t="s">
        <v>50</v>
      </c>
      <c r="C34" s="3" t="s">
        <v>18</v>
      </c>
      <c r="D34" s="4">
        <v>28295</v>
      </c>
      <c r="E34" s="5">
        <v>41801</v>
      </c>
      <c r="F34" s="5" t="s">
        <v>43</v>
      </c>
      <c r="G34" s="6">
        <f t="shared" si="0"/>
        <v>241</v>
      </c>
      <c r="H34" s="7">
        <v>128</v>
      </c>
      <c r="I34" s="7">
        <v>113</v>
      </c>
      <c r="J34" s="7">
        <v>9</v>
      </c>
    </row>
    <row r="35" spans="1:10" x14ac:dyDescent="0.3">
      <c r="A35" s="13" t="s">
        <v>118</v>
      </c>
      <c r="B35" s="3" t="s">
        <v>51</v>
      </c>
      <c r="C35" s="3" t="s">
        <v>36</v>
      </c>
      <c r="D35" s="4">
        <v>28310</v>
      </c>
      <c r="E35" s="5" t="s">
        <v>52</v>
      </c>
      <c r="F35" s="5" t="s">
        <v>43</v>
      </c>
      <c r="G35" s="6">
        <f t="shared" si="0"/>
        <v>228</v>
      </c>
      <c r="H35" s="7">
        <v>148</v>
      </c>
      <c r="I35" s="7">
        <v>80</v>
      </c>
      <c r="J35" s="7">
        <v>8</v>
      </c>
    </row>
    <row r="36" spans="1:10" x14ac:dyDescent="0.3">
      <c r="A36" s="13" t="s">
        <v>119</v>
      </c>
      <c r="B36" s="3" t="s">
        <v>53</v>
      </c>
      <c r="C36" s="3" t="s">
        <v>14</v>
      </c>
      <c r="D36" s="4">
        <v>28056</v>
      </c>
      <c r="E36" s="5">
        <v>41801</v>
      </c>
      <c r="F36" s="5" t="s">
        <v>43</v>
      </c>
      <c r="G36" s="6">
        <f t="shared" si="0"/>
        <v>215</v>
      </c>
      <c r="H36" s="7">
        <v>145</v>
      </c>
      <c r="I36" s="7">
        <v>70</v>
      </c>
      <c r="J36" s="7">
        <v>13</v>
      </c>
    </row>
    <row r="37" spans="1:10" x14ac:dyDescent="0.3">
      <c r="A37" s="13" t="s">
        <v>120</v>
      </c>
      <c r="B37" s="3" t="s">
        <v>54</v>
      </c>
      <c r="C37" s="3" t="s">
        <v>11</v>
      </c>
      <c r="D37" s="4">
        <v>28195</v>
      </c>
      <c r="E37" s="5">
        <v>41659</v>
      </c>
      <c r="F37" s="5" t="s">
        <v>43</v>
      </c>
      <c r="G37" s="6">
        <f t="shared" si="0"/>
        <v>213</v>
      </c>
      <c r="H37" s="7">
        <v>144</v>
      </c>
      <c r="I37" s="7">
        <v>69</v>
      </c>
      <c r="J37" s="7">
        <v>9</v>
      </c>
    </row>
    <row r="38" spans="1:10" x14ac:dyDescent="0.3">
      <c r="A38" s="13" t="s">
        <v>121</v>
      </c>
      <c r="B38" s="3" t="s">
        <v>55</v>
      </c>
      <c r="C38" s="3" t="s">
        <v>14</v>
      </c>
      <c r="D38" s="4">
        <v>28053</v>
      </c>
      <c r="E38" s="5">
        <v>41802</v>
      </c>
      <c r="F38" s="5" t="s">
        <v>43</v>
      </c>
      <c r="G38" s="6">
        <f t="shared" si="0"/>
        <v>211</v>
      </c>
      <c r="H38" s="7">
        <v>127</v>
      </c>
      <c r="I38" s="7">
        <v>84</v>
      </c>
      <c r="J38" s="7">
        <v>10</v>
      </c>
    </row>
    <row r="39" spans="1:10" x14ac:dyDescent="0.3">
      <c r="A39" s="13" t="s">
        <v>122</v>
      </c>
      <c r="B39" s="3" t="s">
        <v>56</v>
      </c>
      <c r="C39" s="3" t="s">
        <v>14</v>
      </c>
      <c r="D39" s="4">
        <v>28430</v>
      </c>
      <c r="E39" s="5">
        <v>41465</v>
      </c>
      <c r="F39" s="5" t="s">
        <v>43</v>
      </c>
      <c r="G39" s="6">
        <f t="shared" si="0"/>
        <v>205</v>
      </c>
      <c r="H39" s="7">
        <v>113</v>
      </c>
      <c r="I39" s="7">
        <v>92</v>
      </c>
      <c r="J39" s="7">
        <v>12</v>
      </c>
    </row>
    <row r="40" spans="1:10" x14ac:dyDescent="0.3">
      <c r="A40" s="13" t="s">
        <v>123</v>
      </c>
      <c r="B40" s="3" t="s">
        <v>57</v>
      </c>
      <c r="C40" s="3" t="s">
        <v>14</v>
      </c>
      <c r="D40" s="4">
        <v>28319</v>
      </c>
      <c r="E40" s="5">
        <v>41173</v>
      </c>
      <c r="F40" s="5" t="s">
        <v>43</v>
      </c>
      <c r="G40" s="6">
        <f t="shared" si="0"/>
        <v>202</v>
      </c>
      <c r="H40" s="7">
        <v>121</v>
      </c>
      <c r="I40" s="7">
        <v>81</v>
      </c>
      <c r="J40" s="7">
        <v>12</v>
      </c>
    </row>
    <row r="41" spans="1:10" ht="15" thickBot="1" x14ac:dyDescent="0.35">
      <c r="A41" s="20" t="s">
        <v>124</v>
      </c>
      <c r="B41" s="21" t="s">
        <v>58</v>
      </c>
      <c r="C41" s="21" t="s">
        <v>14</v>
      </c>
      <c r="D41" s="22">
        <v>28051</v>
      </c>
      <c r="E41" s="23">
        <v>41520</v>
      </c>
      <c r="F41" s="23" t="s">
        <v>43</v>
      </c>
      <c r="G41" s="24">
        <f t="shared" si="0"/>
        <v>197</v>
      </c>
      <c r="H41" s="25">
        <v>128</v>
      </c>
      <c r="I41" s="25">
        <v>69</v>
      </c>
      <c r="J41" s="25">
        <v>11</v>
      </c>
    </row>
    <row r="42" spans="1:10" ht="21.6" customHeight="1" thickBot="1" x14ac:dyDescent="0.35">
      <c r="A42" s="43" t="s">
        <v>130</v>
      </c>
      <c r="B42" s="44"/>
      <c r="C42" s="44"/>
      <c r="D42" s="44"/>
      <c r="E42" s="44"/>
      <c r="F42" s="44"/>
      <c r="G42" s="44"/>
      <c r="H42" s="44"/>
      <c r="I42" s="44"/>
      <c r="J42" s="45"/>
    </row>
    <row r="43" spans="1:10" x14ac:dyDescent="0.3">
      <c r="A43" s="14" t="s">
        <v>111</v>
      </c>
      <c r="B43" s="15" t="s">
        <v>59</v>
      </c>
      <c r="C43" s="15" t="s">
        <v>20</v>
      </c>
      <c r="D43" s="16">
        <v>26921</v>
      </c>
      <c r="E43" s="17">
        <v>41211</v>
      </c>
      <c r="F43" s="17" t="s">
        <v>60</v>
      </c>
      <c r="G43" s="6">
        <f t="shared" si="0"/>
        <v>303</v>
      </c>
      <c r="H43" s="18">
        <v>192</v>
      </c>
      <c r="I43" s="18">
        <v>111</v>
      </c>
      <c r="J43" s="18">
        <v>2</v>
      </c>
    </row>
    <row r="44" spans="1:10" x14ac:dyDescent="0.3">
      <c r="A44" s="2" t="s">
        <v>112</v>
      </c>
      <c r="B44" s="3" t="s">
        <v>61</v>
      </c>
      <c r="C44" s="3" t="s">
        <v>20</v>
      </c>
      <c r="D44" s="4">
        <v>26919</v>
      </c>
      <c r="E44" s="5">
        <v>41062</v>
      </c>
      <c r="F44" s="5" t="s">
        <v>60</v>
      </c>
      <c r="G44" s="6">
        <f t="shared" si="0"/>
        <v>274</v>
      </c>
      <c r="H44" s="7">
        <v>180</v>
      </c>
      <c r="I44" s="7">
        <v>94</v>
      </c>
      <c r="J44" s="7">
        <v>0</v>
      </c>
    </row>
    <row r="45" spans="1:10" x14ac:dyDescent="0.3">
      <c r="A45" s="2" t="s">
        <v>113</v>
      </c>
      <c r="B45" s="3" t="s">
        <v>62</v>
      </c>
      <c r="C45" s="9" t="s">
        <v>36</v>
      </c>
      <c r="D45" s="4">
        <v>27514</v>
      </c>
      <c r="E45" s="5" t="s">
        <v>37</v>
      </c>
      <c r="F45" s="5" t="s">
        <v>60</v>
      </c>
      <c r="G45" s="6">
        <f t="shared" si="0"/>
        <v>274</v>
      </c>
      <c r="H45" s="7">
        <v>188</v>
      </c>
      <c r="I45" s="7">
        <v>86</v>
      </c>
      <c r="J45" s="7">
        <v>5</v>
      </c>
    </row>
    <row r="46" spans="1:10" x14ac:dyDescent="0.3">
      <c r="A46" s="13" t="s">
        <v>114</v>
      </c>
      <c r="B46" s="3" t="s">
        <v>63</v>
      </c>
      <c r="C46" s="3" t="s">
        <v>14</v>
      </c>
      <c r="D46" s="4">
        <v>27304</v>
      </c>
      <c r="E46" s="5">
        <v>40885</v>
      </c>
      <c r="F46" s="5" t="s">
        <v>60</v>
      </c>
      <c r="G46" s="6">
        <f t="shared" si="0"/>
        <v>269</v>
      </c>
      <c r="H46" s="7">
        <v>164</v>
      </c>
      <c r="I46" s="7">
        <v>105</v>
      </c>
      <c r="J46" s="7">
        <v>7</v>
      </c>
    </row>
    <row r="47" spans="1:10" x14ac:dyDescent="0.3">
      <c r="A47" s="13" t="s">
        <v>115</v>
      </c>
      <c r="B47" s="3" t="s">
        <v>64</v>
      </c>
      <c r="C47" s="3" t="s">
        <v>14</v>
      </c>
      <c r="D47" s="4">
        <v>27308</v>
      </c>
      <c r="E47" s="5">
        <v>40834</v>
      </c>
      <c r="F47" s="5" t="s">
        <v>60</v>
      </c>
      <c r="G47" s="6">
        <f t="shared" si="0"/>
        <v>253</v>
      </c>
      <c r="H47" s="7">
        <v>182</v>
      </c>
      <c r="I47" s="7">
        <v>71</v>
      </c>
      <c r="J47" s="7">
        <v>9</v>
      </c>
    </row>
    <row r="48" spans="1:10" x14ac:dyDescent="0.3">
      <c r="A48" s="13" t="s">
        <v>116</v>
      </c>
      <c r="B48" s="3" t="s">
        <v>65</v>
      </c>
      <c r="C48" s="3" t="s">
        <v>66</v>
      </c>
      <c r="D48" s="4">
        <v>27022</v>
      </c>
      <c r="E48" s="5">
        <v>40736</v>
      </c>
      <c r="F48" s="5" t="s">
        <v>60</v>
      </c>
      <c r="G48" s="6">
        <f t="shared" si="0"/>
        <v>252</v>
      </c>
      <c r="H48" s="7">
        <v>172</v>
      </c>
      <c r="I48" s="7">
        <v>80</v>
      </c>
      <c r="J48" s="7">
        <v>4</v>
      </c>
    </row>
    <row r="49" spans="1:10" x14ac:dyDescent="0.3">
      <c r="A49" s="13" t="s">
        <v>117</v>
      </c>
      <c r="B49" s="3" t="s">
        <v>67</v>
      </c>
      <c r="C49" s="3" t="s">
        <v>14</v>
      </c>
      <c r="D49" s="4">
        <v>27305</v>
      </c>
      <c r="E49" s="5">
        <v>40619</v>
      </c>
      <c r="F49" s="5" t="s">
        <v>60</v>
      </c>
      <c r="G49" s="6">
        <f t="shared" si="0"/>
        <v>250</v>
      </c>
      <c r="H49" s="7">
        <v>153</v>
      </c>
      <c r="I49" s="7">
        <v>97</v>
      </c>
      <c r="J49" s="7">
        <v>4</v>
      </c>
    </row>
    <row r="50" spans="1:10" x14ac:dyDescent="0.3">
      <c r="A50" s="13" t="s">
        <v>118</v>
      </c>
      <c r="B50" s="3" t="s">
        <v>68</v>
      </c>
      <c r="C50" s="3" t="s">
        <v>14</v>
      </c>
      <c r="D50" s="4">
        <v>26821</v>
      </c>
      <c r="E50" s="5">
        <v>40791</v>
      </c>
      <c r="F50" s="5" t="s">
        <v>60</v>
      </c>
      <c r="G50" s="6">
        <f t="shared" si="0"/>
        <v>249</v>
      </c>
      <c r="H50" s="7">
        <v>173</v>
      </c>
      <c r="I50" s="7">
        <v>76</v>
      </c>
      <c r="J50" s="7">
        <v>8</v>
      </c>
    </row>
    <row r="51" spans="1:10" x14ac:dyDescent="0.3">
      <c r="A51" s="13" t="s">
        <v>119</v>
      </c>
      <c r="B51" s="3" t="s">
        <v>69</v>
      </c>
      <c r="C51" s="3" t="s">
        <v>36</v>
      </c>
      <c r="D51" s="4">
        <v>26532</v>
      </c>
      <c r="E51" s="5" t="s">
        <v>70</v>
      </c>
      <c r="F51" s="5" t="s">
        <v>60</v>
      </c>
      <c r="G51" s="6">
        <f t="shared" si="0"/>
        <v>248</v>
      </c>
      <c r="H51" s="7">
        <v>187</v>
      </c>
      <c r="I51" s="7">
        <v>61</v>
      </c>
      <c r="J51" s="7">
        <v>9</v>
      </c>
    </row>
    <row r="52" spans="1:10" x14ac:dyDescent="0.3">
      <c r="A52" s="13" t="s">
        <v>120</v>
      </c>
      <c r="B52" s="3" t="s">
        <v>71</v>
      </c>
      <c r="C52" s="3" t="s">
        <v>14</v>
      </c>
      <c r="D52" s="4">
        <v>27302</v>
      </c>
      <c r="E52" s="5">
        <v>40640</v>
      </c>
      <c r="F52" s="5" t="s">
        <v>60</v>
      </c>
      <c r="G52" s="6">
        <f t="shared" si="0"/>
        <v>244</v>
      </c>
      <c r="H52" s="7">
        <v>173</v>
      </c>
      <c r="I52" s="7">
        <v>71</v>
      </c>
      <c r="J52" s="7">
        <v>6</v>
      </c>
    </row>
    <row r="53" spans="1:10" x14ac:dyDescent="0.3">
      <c r="A53" s="13" t="s">
        <v>121</v>
      </c>
      <c r="B53" s="3" t="s">
        <v>72</v>
      </c>
      <c r="C53" s="3" t="s">
        <v>66</v>
      </c>
      <c r="D53" s="4">
        <v>26507</v>
      </c>
      <c r="E53" s="5">
        <v>40606</v>
      </c>
      <c r="F53" s="5" t="s">
        <v>60</v>
      </c>
      <c r="G53" s="6">
        <f t="shared" si="0"/>
        <v>241</v>
      </c>
      <c r="H53" s="7">
        <v>180</v>
      </c>
      <c r="I53" s="7">
        <v>61</v>
      </c>
      <c r="J53" s="7">
        <v>10</v>
      </c>
    </row>
    <row r="54" spans="1:10" x14ac:dyDescent="0.3">
      <c r="A54" s="13" t="s">
        <v>122</v>
      </c>
      <c r="B54" s="3" t="s">
        <v>73</v>
      </c>
      <c r="C54" s="3" t="s">
        <v>40</v>
      </c>
      <c r="D54" s="4">
        <v>27710</v>
      </c>
      <c r="E54" s="5">
        <v>40969</v>
      </c>
      <c r="F54" s="5" t="s">
        <v>60</v>
      </c>
      <c r="G54" s="6">
        <f t="shared" si="0"/>
        <v>237</v>
      </c>
      <c r="H54" s="7">
        <v>160</v>
      </c>
      <c r="I54" s="7">
        <v>77</v>
      </c>
      <c r="J54" s="7">
        <v>6</v>
      </c>
    </row>
    <row r="55" spans="1:10" x14ac:dyDescent="0.3">
      <c r="A55" s="13" t="s">
        <v>123</v>
      </c>
      <c r="B55" s="3" t="s">
        <v>74</v>
      </c>
      <c r="C55" s="3" t="s">
        <v>75</v>
      </c>
      <c r="D55" s="4">
        <v>27803</v>
      </c>
      <c r="E55" s="5">
        <v>40399</v>
      </c>
      <c r="F55" s="5" t="s">
        <v>60</v>
      </c>
      <c r="G55" s="6">
        <f t="shared" si="0"/>
        <v>233</v>
      </c>
      <c r="H55" s="7">
        <v>173</v>
      </c>
      <c r="I55" s="7">
        <v>60</v>
      </c>
      <c r="J55" s="7">
        <v>8</v>
      </c>
    </row>
    <row r="56" spans="1:10" x14ac:dyDescent="0.3">
      <c r="A56" s="20" t="s">
        <v>124</v>
      </c>
      <c r="B56" s="3" t="s">
        <v>76</v>
      </c>
      <c r="C56" s="3" t="s">
        <v>14</v>
      </c>
      <c r="D56" s="4">
        <v>27300</v>
      </c>
      <c r="E56" s="5">
        <v>41075</v>
      </c>
      <c r="F56" s="5" t="s">
        <v>60</v>
      </c>
      <c r="G56" s="6">
        <f t="shared" si="0"/>
        <v>230</v>
      </c>
      <c r="H56" s="7">
        <v>172</v>
      </c>
      <c r="I56" s="7">
        <v>58</v>
      </c>
      <c r="J56" s="7">
        <v>10</v>
      </c>
    </row>
    <row r="57" spans="1:10" x14ac:dyDescent="0.3">
      <c r="A57" s="13" t="s">
        <v>125</v>
      </c>
      <c r="B57" s="3" t="s">
        <v>77</v>
      </c>
      <c r="C57" s="3" t="s">
        <v>66</v>
      </c>
      <c r="D57" s="4">
        <v>28238</v>
      </c>
      <c r="E57" s="5">
        <v>40908</v>
      </c>
      <c r="F57" s="5" t="s">
        <v>60</v>
      </c>
      <c r="G57" s="6">
        <f t="shared" si="0"/>
        <v>221</v>
      </c>
      <c r="H57" s="7">
        <v>156</v>
      </c>
      <c r="I57" s="7">
        <v>65</v>
      </c>
      <c r="J57" s="7">
        <v>9</v>
      </c>
    </row>
    <row r="58" spans="1:10" x14ac:dyDescent="0.3">
      <c r="A58" s="13" t="s">
        <v>126</v>
      </c>
      <c r="B58" s="3" t="s">
        <v>78</v>
      </c>
      <c r="C58" s="3" t="s">
        <v>25</v>
      </c>
      <c r="D58" s="4">
        <v>28322</v>
      </c>
      <c r="E58" s="5">
        <v>40842</v>
      </c>
      <c r="F58" s="5" t="s">
        <v>60</v>
      </c>
      <c r="G58" s="6">
        <f t="shared" si="0"/>
        <v>220</v>
      </c>
      <c r="H58" s="7">
        <v>179</v>
      </c>
      <c r="I58" s="7">
        <v>41</v>
      </c>
      <c r="J58" s="7">
        <v>17</v>
      </c>
    </row>
    <row r="59" spans="1:10" x14ac:dyDescent="0.3">
      <c r="A59" s="13" t="s">
        <v>127</v>
      </c>
      <c r="B59" s="3" t="s">
        <v>79</v>
      </c>
      <c r="C59" s="3" t="s">
        <v>14</v>
      </c>
      <c r="D59" s="4">
        <v>27298</v>
      </c>
      <c r="E59" s="5">
        <v>41015</v>
      </c>
      <c r="F59" s="5" t="s">
        <v>60</v>
      </c>
      <c r="G59" s="6">
        <f t="shared" si="0"/>
        <v>210</v>
      </c>
      <c r="H59" s="7">
        <v>158</v>
      </c>
      <c r="I59" s="7">
        <v>52</v>
      </c>
      <c r="J59" s="7">
        <v>15</v>
      </c>
    </row>
    <row r="60" spans="1:10" x14ac:dyDescent="0.3">
      <c r="A60" s="13" t="s">
        <v>128</v>
      </c>
      <c r="B60" s="3" t="s">
        <v>80</v>
      </c>
      <c r="C60" s="3" t="s">
        <v>81</v>
      </c>
      <c r="D60" s="4">
        <v>25916</v>
      </c>
      <c r="E60" s="5">
        <v>40527</v>
      </c>
      <c r="F60" s="8" t="s">
        <v>60</v>
      </c>
      <c r="G60" s="6">
        <f t="shared" si="0"/>
        <v>208</v>
      </c>
      <c r="H60" s="7">
        <v>168</v>
      </c>
      <c r="I60" s="7">
        <v>40</v>
      </c>
      <c r="J60" s="7">
        <v>14</v>
      </c>
    </row>
    <row r="61" spans="1:10" x14ac:dyDescent="0.3">
      <c r="A61" s="13" t="s">
        <v>131</v>
      </c>
      <c r="B61" s="3" t="s">
        <v>82</v>
      </c>
      <c r="C61" s="3" t="s">
        <v>14</v>
      </c>
      <c r="D61" s="4">
        <v>27301</v>
      </c>
      <c r="E61" s="5">
        <v>41014</v>
      </c>
      <c r="F61" s="5" t="s">
        <v>60</v>
      </c>
      <c r="G61" s="6">
        <f t="shared" si="0"/>
        <v>206</v>
      </c>
      <c r="H61" s="7">
        <v>145</v>
      </c>
      <c r="I61" s="7">
        <v>61</v>
      </c>
      <c r="J61" s="7">
        <v>11</v>
      </c>
    </row>
    <row r="62" spans="1:10" ht="15" thickBot="1" x14ac:dyDescent="0.35">
      <c r="A62" s="20" t="s">
        <v>132</v>
      </c>
      <c r="B62" s="21" t="s">
        <v>83</v>
      </c>
      <c r="C62" s="21" t="s">
        <v>14</v>
      </c>
      <c r="D62" s="22">
        <v>28318</v>
      </c>
      <c r="E62" s="23">
        <v>40916</v>
      </c>
      <c r="F62" s="23" t="s">
        <v>60</v>
      </c>
      <c r="G62" s="24">
        <f t="shared" si="0"/>
        <v>200</v>
      </c>
      <c r="H62" s="25">
        <v>148</v>
      </c>
      <c r="I62" s="25">
        <v>52</v>
      </c>
      <c r="J62" s="25">
        <v>11</v>
      </c>
    </row>
    <row r="63" spans="1:10" ht="20.399999999999999" customHeight="1" thickBot="1" x14ac:dyDescent="0.35">
      <c r="A63" s="43" t="s">
        <v>133</v>
      </c>
      <c r="B63" s="44"/>
      <c r="C63" s="44"/>
      <c r="D63" s="44"/>
      <c r="E63" s="44"/>
      <c r="F63" s="44"/>
      <c r="G63" s="44"/>
      <c r="H63" s="44"/>
      <c r="I63" s="44"/>
      <c r="J63" s="45"/>
    </row>
    <row r="64" spans="1:10" ht="14.4" customHeight="1" x14ac:dyDescent="0.3">
      <c r="A64" s="14" t="s">
        <v>111</v>
      </c>
      <c r="B64" s="15" t="s">
        <v>84</v>
      </c>
      <c r="C64" s="15" t="s">
        <v>25</v>
      </c>
      <c r="D64" s="16">
        <v>27225</v>
      </c>
      <c r="E64" s="17">
        <v>41645</v>
      </c>
      <c r="F64" s="17" t="s">
        <v>85</v>
      </c>
      <c r="G64" s="6">
        <f t="shared" si="0"/>
        <v>300</v>
      </c>
      <c r="H64" s="18">
        <v>197</v>
      </c>
      <c r="I64" s="18">
        <v>103</v>
      </c>
      <c r="J64" s="18">
        <v>3</v>
      </c>
    </row>
    <row r="65" spans="1:10" x14ac:dyDescent="0.3">
      <c r="A65" s="2" t="s">
        <v>112</v>
      </c>
      <c r="B65" s="3" t="s">
        <v>86</v>
      </c>
      <c r="C65" s="3" t="s">
        <v>14</v>
      </c>
      <c r="D65" s="4">
        <v>28061</v>
      </c>
      <c r="E65" s="5">
        <v>41640</v>
      </c>
      <c r="F65" s="5" t="s">
        <v>85</v>
      </c>
      <c r="G65" s="6">
        <f t="shared" si="0"/>
        <v>288</v>
      </c>
      <c r="H65" s="7">
        <v>181</v>
      </c>
      <c r="I65" s="7">
        <v>107</v>
      </c>
      <c r="J65" s="7">
        <v>3</v>
      </c>
    </row>
    <row r="66" spans="1:10" x14ac:dyDescent="0.3">
      <c r="A66" s="2" t="s">
        <v>113</v>
      </c>
      <c r="B66" s="3" t="s">
        <v>87</v>
      </c>
      <c r="C66" s="3" t="s">
        <v>14</v>
      </c>
      <c r="D66" s="4">
        <v>27310</v>
      </c>
      <c r="E66" s="5">
        <v>41430</v>
      </c>
      <c r="F66" s="5" t="s">
        <v>85</v>
      </c>
      <c r="G66" s="6">
        <f t="shared" si="0"/>
        <v>286</v>
      </c>
      <c r="H66" s="7">
        <v>193</v>
      </c>
      <c r="I66" s="7">
        <v>93</v>
      </c>
      <c r="J66" s="7">
        <v>7</v>
      </c>
    </row>
    <row r="67" spans="1:10" x14ac:dyDescent="0.3">
      <c r="A67" s="13" t="s">
        <v>114</v>
      </c>
      <c r="B67" s="3" t="s">
        <v>88</v>
      </c>
      <c r="C67" s="3" t="s">
        <v>29</v>
      </c>
      <c r="D67" s="4">
        <v>27150</v>
      </c>
      <c r="E67" s="5">
        <v>41435</v>
      </c>
      <c r="F67" s="5" t="s">
        <v>85</v>
      </c>
      <c r="G67" s="6">
        <f t="shared" si="0"/>
        <v>285</v>
      </c>
      <c r="H67" s="7">
        <v>183</v>
      </c>
      <c r="I67" s="7">
        <v>102</v>
      </c>
      <c r="J67" s="7">
        <v>5</v>
      </c>
    </row>
    <row r="68" spans="1:10" x14ac:dyDescent="0.3">
      <c r="A68" s="13" t="s">
        <v>115</v>
      </c>
      <c r="B68" s="3" t="s">
        <v>89</v>
      </c>
      <c r="C68" s="3" t="s">
        <v>36</v>
      </c>
      <c r="D68" s="4">
        <v>27184</v>
      </c>
      <c r="E68" s="5" t="s">
        <v>90</v>
      </c>
      <c r="F68" s="5" t="s">
        <v>85</v>
      </c>
      <c r="G68" s="6">
        <f t="shared" si="0"/>
        <v>280</v>
      </c>
      <c r="H68" s="7">
        <v>179</v>
      </c>
      <c r="I68" s="7">
        <v>101</v>
      </c>
      <c r="J68" s="7">
        <v>5</v>
      </c>
    </row>
    <row r="69" spans="1:10" x14ac:dyDescent="0.3">
      <c r="A69" s="13" t="s">
        <v>116</v>
      </c>
      <c r="B69" s="3" t="s">
        <v>91</v>
      </c>
      <c r="C69" s="3" t="s">
        <v>14</v>
      </c>
      <c r="D69" s="4">
        <v>27612</v>
      </c>
      <c r="E69" s="5">
        <v>41232</v>
      </c>
      <c r="F69" s="5" t="s">
        <v>85</v>
      </c>
      <c r="G69" s="6">
        <f t="shared" si="0"/>
        <v>269</v>
      </c>
      <c r="H69" s="7">
        <v>165</v>
      </c>
      <c r="I69" s="7">
        <v>104</v>
      </c>
      <c r="J69" s="7">
        <v>4</v>
      </c>
    </row>
    <row r="70" spans="1:10" x14ac:dyDescent="0.3">
      <c r="A70" s="13" t="s">
        <v>117</v>
      </c>
      <c r="B70" s="3" t="s">
        <v>92</v>
      </c>
      <c r="C70" s="3" t="s">
        <v>36</v>
      </c>
      <c r="D70" s="4">
        <v>27879</v>
      </c>
      <c r="E70" s="5" t="s">
        <v>93</v>
      </c>
      <c r="F70" s="5" t="s">
        <v>85</v>
      </c>
      <c r="G70" s="6">
        <f t="shared" si="0"/>
        <v>260</v>
      </c>
      <c r="H70" s="7">
        <v>176</v>
      </c>
      <c r="I70" s="7">
        <v>84</v>
      </c>
      <c r="J70" s="7">
        <v>5</v>
      </c>
    </row>
    <row r="71" spans="1:10" x14ac:dyDescent="0.3">
      <c r="A71" s="13" t="s">
        <v>118</v>
      </c>
      <c r="B71" s="3" t="s">
        <v>94</v>
      </c>
      <c r="C71" s="3" t="s">
        <v>18</v>
      </c>
      <c r="D71" s="10">
        <v>28151</v>
      </c>
      <c r="E71" s="5">
        <v>41979</v>
      </c>
      <c r="F71" s="5" t="s">
        <v>85</v>
      </c>
      <c r="G71" s="6">
        <f t="shared" si="0"/>
        <v>256</v>
      </c>
      <c r="H71" s="7">
        <v>164</v>
      </c>
      <c r="I71" s="7">
        <v>92</v>
      </c>
      <c r="J71" s="7">
        <v>6</v>
      </c>
    </row>
    <row r="72" spans="1:10" x14ac:dyDescent="0.3">
      <c r="A72" s="13" t="s">
        <v>119</v>
      </c>
      <c r="B72" s="3" t="s">
        <v>95</v>
      </c>
      <c r="C72" s="3" t="s">
        <v>18</v>
      </c>
      <c r="D72" s="4">
        <v>28176</v>
      </c>
      <c r="E72" s="5">
        <v>42044</v>
      </c>
      <c r="F72" s="5" t="s">
        <v>85</v>
      </c>
      <c r="G72" s="6">
        <f t="shared" si="0"/>
        <v>251</v>
      </c>
      <c r="H72" s="7">
        <v>156</v>
      </c>
      <c r="I72" s="7">
        <v>95</v>
      </c>
      <c r="J72" s="7">
        <v>6</v>
      </c>
    </row>
    <row r="73" spans="1:10" x14ac:dyDescent="0.3">
      <c r="A73" s="13" t="s">
        <v>120</v>
      </c>
      <c r="B73" s="11" t="s">
        <v>96</v>
      </c>
      <c r="C73" s="11" t="s">
        <v>81</v>
      </c>
      <c r="D73" s="12">
        <v>27672</v>
      </c>
      <c r="E73" s="5">
        <v>41582</v>
      </c>
      <c r="F73" s="8" t="s">
        <v>85</v>
      </c>
      <c r="G73" s="6">
        <f t="shared" si="0"/>
        <v>248</v>
      </c>
      <c r="H73" s="7">
        <v>161</v>
      </c>
      <c r="I73" s="7">
        <v>87</v>
      </c>
      <c r="J73" s="7">
        <v>4</v>
      </c>
    </row>
    <row r="74" spans="1:10" x14ac:dyDescent="0.3">
      <c r="A74" s="13" t="s">
        <v>121</v>
      </c>
      <c r="B74" s="3" t="s">
        <v>97</v>
      </c>
      <c r="C74" s="3" t="s">
        <v>81</v>
      </c>
      <c r="D74" s="4">
        <v>28421</v>
      </c>
      <c r="E74" s="5">
        <v>41456</v>
      </c>
      <c r="F74" s="5" t="s">
        <v>85</v>
      </c>
      <c r="G74" s="6">
        <f t="shared" si="0"/>
        <v>246</v>
      </c>
      <c r="H74" s="7">
        <v>155</v>
      </c>
      <c r="I74" s="7">
        <v>91</v>
      </c>
      <c r="J74" s="7">
        <v>7</v>
      </c>
    </row>
    <row r="75" spans="1:10" x14ac:dyDescent="0.3">
      <c r="A75" s="13" t="s">
        <v>122</v>
      </c>
      <c r="B75" s="3" t="s">
        <v>98</v>
      </c>
      <c r="C75" s="3" t="s">
        <v>66</v>
      </c>
      <c r="D75" s="4">
        <v>27759</v>
      </c>
      <c r="E75" s="5">
        <v>41235</v>
      </c>
      <c r="F75" s="5" t="s">
        <v>85</v>
      </c>
      <c r="G75" s="6">
        <f t="shared" si="0"/>
        <v>245</v>
      </c>
      <c r="H75" s="7">
        <v>151</v>
      </c>
      <c r="I75" s="7">
        <v>94</v>
      </c>
      <c r="J75" s="7">
        <v>5</v>
      </c>
    </row>
    <row r="76" spans="1:10" x14ac:dyDescent="0.3">
      <c r="A76" s="13" t="s">
        <v>123</v>
      </c>
      <c r="B76" s="3" t="s">
        <v>99</v>
      </c>
      <c r="C76" s="3" t="s">
        <v>18</v>
      </c>
      <c r="D76" s="4">
        <v>27947</v>
      </c>
      <c r="E76" s="5">
        <v>41464</v>
      </c>
      <c r="F76" s="5" t="s">
        <v>85</v>
      </c>
      <c r="G76" s="6">
        <f t="shared" ref="G76:G85" si="1">IF(OR(ISBLANK($H76))," ",H76+I76)</f>
        <v>242</v>
      </c>
      <c r="H76" s="7">
        <v>153</v>
      </c>
      <c r="I76" s="7">
        <v>89</v>
      </c>
      <c r="J76" s="7">
        <v>7</v>
      </c>
    </row>
    <row r="77" spans="1:10" x14ac:dyDescent="0.3">
      <c r="A77" s="20" t="s">
        <v>124</v>
      </c>
      <c r="B77" s="3" t="s">
        <v>100</v>
      </c>
      <c r="C77" s="3" t="s">
        <v>29</v>
      </c>
      <c r="D77" s="4">
        <v>27761</v>
      </c>
      <c r="E77" s="5">
        <v>42160</v>
      </c>
      <c r="F77" s="5" t="s">
        <v>85</v>
      </c>
      <c r="G77" s="6">
        <f t="shared" si="1"/>
        <v>236</v>
      </c>
      <c r="H77" s="7">
        <v>154</v>
      </c>
      <c r="I77" s="7">
        <v>82</v>
      </c>
      <c r="J77" s="7">
        <v>6</v>
      </c>
    </row>
    <row r="78" spans="1:10" x14ac:dyDescent="0.3">
      <c r="A78" s="13" t="s">
        <v>125</v>
      </c>
      <c r="B78" s="3" t="s">
        <v>101</v>
      </c>
      <c r="C78" s="3" t="s">
        <v>14</v>
      </c>
      <c r="D78" s="4">
        <v>28060</v>
      </c>
      <c r="E78" s="5">
        <v>41626</v>
      </c>
      <c r="F78" s="5" t="s">
        <v>85</v>
      </c>
      <c r="G78" s="6">
        <f t="shared" si="1"/>
        <v>235</v>
      </c>
      <c r="H78" s="7">
        <v>148</v>
      </c>
      <c r="I78" s="7">
        <v>87</v>
      </c>
      <c r="J78" s="7">
        <v>8</v>
      </c>
    </row>
    <row r="79" spans="1:10" x14ac:dyDescent="0.3">
      <c r="A79" s="13" t="s">
        <v>126</v>
      </c>
      <c r="B79" s="3" t="s">
        <v>102</v>
      </c>
      <c r="C79" s="3" t="s">
        <v>103</v>
      </c>
      <c r="D79" s="4">
        <v>28320</v>
      </c>
      <c r="E79" s="5">
        <v>42218</v>
      </c>
      <c r="F79" s="5" t="s">
        <v>85</v>
      </c>
      <c r="G79" s="6">
        <f t="shared" si="1"/>
        <v>234</v>
      </c>
      <c r="H79" s="7">
        <v>145</v>
      </c>
      <c r="I79" s="7">
        <v>89</v>
      </c>
      <c r="J79" s="7">
        <v>11</v>
      </c>
    </row>
    <row r="80" spans="1:10" x14ac:dyDescent="0.3">
      <c r="A80" s="13" t="s">
        <v>127</v>
      </c>
      <c r="B80" s="3" t="s">
        <v>104</v>
      </c>
      <c r="C80" s="3" t="s">
        <v>14</v>
      </c>
      <c r="D80" s="4">
        <v>28429</v>
      </c>
      <c r="E80" s="5">
        <v>41450</v>
      </c>
      <c r="F80" s="5" t="s">
        <v>85</v>
      </c>
      <c r="G80" s="6">
        <f t="shared" si="1"/>
        <v>233</v>
      </c>
      <c r="H80" s="7">
        <v>148</v>
      </c>
      <c r="I80" s="7">
        <v>85</v>
      </c>
      <c r="J80" s="7">
        <v>7</v>
      </c>
    </row>
    <row r="81" spans="1:10" x14ac:dyDescent="0.3">
      <c r="A81" s="13" t="s">
        <v>128</v>
      </c>
      <c r="B81" s="3" t="s">
        <v>105</v>
      </c>
      <c r="C81" s="3" t="s">
        <v>11</v>
      </c>
      <c r="D81" s="4">
        <v>28196</v>
      </c>
      <c r="E81" s="5">
        <v>41834</v>
      </c>
      <c r="F81" s="5" t="s">
        <v>85</v>
      </c>
      <c r="G81" s="6">
        <f t="shared" si="1"/>
        <v>226</v>
      </c>
      <c r="H81" s="7">
        <v>130</v>
      </c>
      <c r="I81" s="7">
        <v>96</v>
      </c>
      <c r="J81" s="7">
        <v>4</v>
      </c>
    </row>
    <row r="82" spans="1:10" x14ac:dyDescent="0.3">
      <c r="A82" s="13" t="s">
        <v>131</v>
      </c>
      <c r="B82" s="3" t="s">
        <v>106</v>
      </c>
      <c r="C82" s="3" t="s">
        <v>14</v>
      </c>
      <c r="D82" s="4">
        <v>28052</v>
      </c>
      <c r="E82" s="5">
        <v>41253</v>
      </c>
      <c r="F82" s="5" t="s">
        <v>85</v>
      </c>
      <c r="G82" s="6">
        <f t="shared" si="1"/>
        <v>215</v>
      </c>
      <c r="H82" s="7">
        <v>147</v>
      </c>
      <c r="I82" s="7">
        <v>68</v>
      </c>
      <c r="J82" s="7">
        <v>10</v>
      </c>
    </row>
    <row r="83" spans="1:10" x14ac:dyDescent="0.3">
      <c r="A83" s="20" t="s">
        <v>132</v>
      </c>
      <c r="B83" s="3" t="s">
        <v>107</v>
      </c>
      <c r="C83" s="3" t="s">
        <v>29</v>
      </c>
      <c r="D83" s="4">
        <v>28124</v>
      </c>
      <c r="E83" s="5">
        <v>41871</v>
      </c>
      <c r="F83" s="5" t="s">
        <v>85</v>
      </c>
      <c r="G83" s="6">
        <f t="shared" si="1"/>
        <v>205</v>
      </c>
      <c r="H83" s="7">
        <v>134</v>
      </c>
      <c r="I83" s="7">
        <v>71</v>
      </c>
      <c r="J83" s="7">
        <v>12</v>
      </c>
    </row>
    <row r="84" spans="1:10" x14ac:dyDescent="0.3">
      <c r="A84" s="13" t="s">
        <v>134</v>
      </c>
      <c r="B84" s="3" t="s">
        <v>108</v>
      </c>
      <c r="C84" s="3" t="s">
        <v>14</v>
      </c>
      <c r="D84" s="4">
        <v>28055</v>
      </c>
      <c r="E84" s="5">
        <v>41772</v>
      </c>
      <c r="F84" s="5" t="s">
        <v>85</v>
      </c>
      <c r="G84" s="6">
        <f t="shared" si="1"/>
        <v>199</v>
      </c>
      <c r="H84" s="7">
        <v>127</v>
      </c>
      <c r="I84" s="7">
        <v>72</v>
      </c>
      <c r="J84" s="7">
        <v>9</v>
      </c>
    </row>
    <row r="85" spans="1:10" x14ac:dyDescent="0.3">
      <c r="A85" s="13" t="s">
        <v>135</v>
      </c>
      <c r="B85" s="3" t="s">
        <v>109</v>
      </c>
      <c r="C85" s="3" t="s">
        <v>66</v>
      </c>
      <c r="D85" s="4">
        <v>28300</v>
      </c>
      <c r="E85" s="5">
        <v>41916</v>
      </c>
      <c r="F85" s="5" t="s">
        <v>85</v>
      </c>
      <c r="G85" s="6">
        <f t="shared" si="1"/>
        <v>186</v>
      </c>
      <c r="H85" s="7">
        <v>116</v>
      </c>
      <c r="I85" s="7">
        <v>70</v>
      </c>
      <c r="J85" s="7">
        <v>13</v>
      </c>
    </row>
  </sheetData>
  <protectedRanges>
    <protectedRange sqref="B54:F69 B74:F85" name="Oblast2"/>
    <protectedRange sqref="C14:F53" name="Oblast2_1"/>
    <protectedRange sqref="H9:J53" name="Oblast3_1"/>
    <protectedRange sqref="B14:B53" name="Oblast2_1_1"/>
    <protectedRange sqref="C70:F73" name="Oblast2_1_2"/>
    <protectedRange sqref="B70:B73" name="Oblast2_1_1_1"/>
  </protectedRanges>
  <mergeCells count="15">
    <mergeCell ref="A1:J4"/>
    <mergeCell ref="A5:A7"/>
    <mergeCell ref="B5:B7"/>
    <mergeCell ref="C5:C6"/>
    <mergeCell ref="D5:D7"/>
    <mergeCell ref="E5:E7"/>
    <mergeCell ref="A8:J8"/>
    <mergeCell ref="A27:J27"/>
    <mergeCell ref="A42:J42"/>
    <mergeCell ref="A63:J63"/>
    <mergeCell ref="F5:F7"/>
    <mergeCell ref="G5:G7"/>
    <mergeCell ref="H5:H7"/>
    <mergeCell ref="I5:I7"/>
    <mergeCell ref="J5:J7"/>
  </mergeCells>
  <conditionalFormatting sqref="D9:D26 D28:D41 D43:D62 D64:D85">
    <cfRule type="cellIs" dxfId="14" priority="1" stopIfTrue="1" operator="equal">
      <formula>99999</formula>
    </cfRule>
  </conditionalFormatting>
  <conditionalFormatting sqref="D11">
    <cfRule type="cellIs" dxfId="13" priority="2" stopIfTrue="1" operator="equal">
      <formula>99999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5660-5D10-49E0-92D6-B8769D7A383D}">
  <dimension ref="A1:J36"/>
  <sheetViews>
    <sheetView workbookViewId="0">
      <selection activeCell="L2" sqref="L2"/>
    </sheetView>
  </sheetViews>
  <sheetFormatPr defaultRowHeight="14.4" x14ac:dyDescent="0.3"/>
  <cols>
    <col min="2" max="2" width="18.77734375" customWidth="1"/>
    <col min="3" max="3" width="18.5546875" customWidth="1"/>
    <col min="5" max="5" width="0" hidden="1" customWidth="1"/>
  </cols>
  <sheetData>
    <row r="1" spans="1:10" ht="15" customHeight="1" x14ac:dyDescent="0.3">
      <c r="A1" s="72" t="s">
        <v>136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x14ac:dyDescent="0.3">
      <c r="A2" s="75"/>
      <c r="B2" s="76"/>
      <c r="C2" s="76"/>
      <c r="D2" s="76"/>
      <c r="E2" s="76"/>
      <c r="F2" s="76"/>
      <c r="G2" s="76"/>
      <c r="H2" s="76"/>
      <c r="I2" s="76"/>
      <c r="J2" s="77"/>
    </row>
    <row r="3" spans="1:10" x14ac:dyDescent="0.3">
      <c r="A3" s="75"/>
      <c r="B3" s="76"/>
      <c r="C3" s="76"/>
      <c r="D3" s="76"/>
      <c r="E3" s="76"/>
      <c r="F3" s="76"/>
      <c r="G3" s="76"/>
      <c r="H3" s="76"/>
      <c r="I3" s="76"/>
      <c r="J3" s="77"/>
    </row>
    <row r="4" spans="1:10" ht="15" thickBot="1" x14ac:dyDescent="0.35">
      <c r="A4" s="78"/>
      <c r="B4" s="79"/>
      <c r="C4" s="79"/>
      <c r="D4" s="79"/>
      <c r="E4" s="79"/>
      <c r="F4" s="79"/>
      <c r="G4" s="79"/>
      <c r="H4" s="79"/>
      <c r="I4" s="79"/>
      <c r="J4" s="80"/>
    </row>
    <row r="5" spans="1:10" ht="15" thickBot="1" x14ac:dyDescent="0.35">
      <c r="A5" s="61"/>
      <c r="B5" s="63" t="s">
        <v>1</v>
      </c>
      <c r="C5" s="65" t="s">
        <v>2</v>
      </c>
      <c r="D5" s="46" t="s">
        <v>3</v>
      </c>
      <c r="E5" s="67" t="s">
        <v>4</v>
      </c>
      <c r="F5" s="46" t="s">
        <v>5</v>
      </c>
      <c r="G5" s="48" t="s">
        <v>6</v>
      </c>
      <c r="H5" s="48" t="s">
        <v>7</v>
      </c>
      <c r="I5" s="48" t="s">
        <v>8</v>
      </c>
      <c r="J5" s="50" t="s">
        <v>9</v>
      </c>
    </row>
    <row r="6" spans="1:10" ht="15" thickBot="1" x14ac:dyDescent="0.35">
      <c r="A6" s="61"/>
      <c r="B6" s="63"/>
      <c r="C6" s="66"/>
      <c r="D6" s="46"/>
      <c r="E6" s="67"/>
      <c r="F6" s="46"/>
      <c r="G6" s="48"/>
      <c r="H6" s="48"/>
      <c r="I6" s="48"/>
      <c r="J6" s="50"/>
    </row>
    <row r="7" spans="1:10" ht="15" thickBot="1" x14ac:dyDescent="0.35">
      <c r="A7" s="62"/>
      <c r="B7" s="64"/>
      <c r="C7" s="1"/>
      <c r="D7" s="47"/>
      <c r="E7" s="68"/>
      <c r="F7" s="47"/>
      <c r="G7" s="49"/>
      <c r="H7" s="49"/>
      <c r="I7" s="49"/>
      <c r="J7" s="51"/>
    </row>
    <row r="8" spans="1:10" ht="17.399999999999999" customHeight="1" thickBot="1" x14ac:dyDescent="0.35">
      <c r="A8" s="40" t="s">
        <v>110</v>
      </c>
      <c r="B8" s="41"/>
      <c r="C8" s="41"/>
      <c r="D8" s="41"/>
      <c r="E8" s="41"/>
      <c r="F8" s="41"/>
      <c r="G8" s="41"/>
      <c r="H8" s="41"/>
      <c r="I8" s="41"/>
      <c r="J8" s="42"/>
    </row>
    <row r="9" spans="1:10" ht="15" thickBot="1" x14ac:dyDescent="0.35">
      <c r="A9" s="26" t="s">
        <v>111</v>
      </c>
      <c r="B9" s="27" t="s">
        <v>137</v>
      </c>
      <c r="C9" s="27" t="s">
        <v>138</v>
      </c>
      <c r="D9" s="28">
        <v>27127</v>
      </c>
      <c r="E9" s="29">
        <v>40824</v>
      </c>
      <c r="F9" s="29" t="s">
        <v>12</v>
      </c>
      <c r="G9" s="24">
        <f t="shared" ref="G9:G27" si="0">IF(OR(ISBLANK($H9))," ",H9+I9)</f>
        <v>244</v>
      </c>
      <c r="H9" s="30">
        <v>175</v>
      </c>
      <c r="I9" s="30">
        <v>69</v>
      </c>
      <c r="J9" s="30">
        <v>6</v>
      </c>
    </row>
    <row r="10" spans="1:10" ht="19.8" customHeight="1" thickBot="1" x14ac:dyDescent="0.35">
      <c r="A10" s="69" t="s">
        <v>129</v>
      </c>
      <c r="B10" s="70"/>
      <c r="C10" s="70"/>
      <c r="D10" s="70"/>
      <c r="E10" s="70"/>
      <c r="F10" s="70"/>
      <c r="G10" s="70"/>
      <c r="H10" s="70"/>
      <c r="I10" s="70"/>
      <c r="J10" s="71"/>
    </row>
    <row r="11" spans="1:10" x14ac:dyDescent="0.3">
      <c r="A11" s="14" t="s">
        <v>111</v>
      </c>
      <c r="B11" s="15" t="s">
        <v>139</v>
      </c>
      <c r="C11" s="15" t="s">
        <v>140</v>
      </c>
      <c r="D11" s="16">
        <v>27505</v>
      </c>
      <c r="E11" s="17" t="s">
        <v>141</v>
      </c>
      <c r="F11" s="17" t="s">
        <v>43</v>
      </c>
      <c r="G11" s="6">
        <f t="shared" si="0"/>
        <v>270</v>
      </c>
      <c r="H11" s="18">
        <v>184</v>
      </c>
      <c r="I11" s="18">
        <v>86</v>
      </c>
      <c r="J11" s="18">
        <v>3</v>
      </c>
    </row>
    <row r="12" spans="1:10" x14ac:dyDescent="0.3">
      <c r="A12" s="2" t="s">
        <v>112</v>
      </c>
      <c r="B12" s="3" t="s">
        <v>142</v>
      </c>
      <c r="C12" s="3" t="s">
        <v>143</v>
      </c>
      <c r="D12" s="4">
        <v>28243</v>
      </c>
      <c r="E12" s="5">
        <v>41859</v>
      </c>
      <c r="F12" s="5" t="s">
        <v>43</v>
      </c>
      <c r="G12" s="6">
        <f t="shared" si="0"/>
        <v>258</v>
      </c>
      <c r="H12" s="7">
        <v>166</v>
      </c>
      <c r="I12" s="7">
        <v>92</v>
      </c>
      <c r="J12" s="7">
        <v>3</v>
      </c>
    </row>
    <row r="13" spans="1:10" x14ac:dyDescent="0.3">
      <c r="A13" s="2" t="s">
        <v>113</v>
      </c>
      <c r="B13" s="3" t="s">
        <v>144</v>
      </c>
      <c r="C13" s="3" t="s">
        <v>145</v>
      </c>
      <c r="D13" s="4">
        <v>28315</v>
      </c>
      <c r="E13" s="5">
        <v>41564</v>
      </c>
      <c r="F13" s="5" t="s">
        <v>43</v>
      </c>
      <c r="G13" s="6">
        <f t="shared" si="0"/>
        <v>246</v>
      </c>
      <c r="H13" s="7">
        <v>166</v>
      </c>
      <c r="I13" s="7">
        <v>80</v>
      </c>
      <c r="J13" s="7">
        <v>6</v>
      </c>
    </row>
    <row r="14" spans="1:10" x14ac:dyDescent="0.3">
      <c r="A14" s="13" t="s">
        <v>114</v>
      </c>
      <c r="B14" s="3" t="s">
        <v>146</v>
      </c>
      <c r="C14" s="3" t="s">
        <v>143</v>
      </c>
      <c r="D14" s="4">
        <v>28246</v>
      </c>
      <c r="E14" s="5">
        <v>41705</v>
      </c>
      <c r="F14" s="5" t="s">
        <v>43</v>
      </c>
      <c r="G14" s="6">
        <f t="shared" si="0"/>
        <v>242</v>
      </c>
      <c r="H14" s="7">
        <v>154</v>
      </c>
      <c r="I14" s="7">
        <v>88</v>
      </c>
      <c r="J14" s="7">
        <v>4</v>
      </c>
    </row>
    <row r="15" spans="1:10" x14ac:dyDescent="0.3">
      <c r="A15" s="13" t="s">
        <v>115</v>
      </c>
      <c r="B15" s="3" t="s">
        <v>147</v>
      </c>
      <c r="C15" s="3" t="s">
        <v>145</v>
      </c>
      <c r="D15" s="4">
        <v>28316</v>
      </c>
      <c r="E15" s="5">
        <v>41418</v>
      </c>
      <c r="F15" s="5" t="s">
        <v>43</v>
      </c>
      <c r="G15" s="6">
        <f t="shared" si="0"/>
        <v>240</v>
      </c>
      <c r="H15" s="7">
        <v>153</v>
      </c>
      <c r="I15" s="7">
        <v>87</v>
      </c>
      <c r="J15" s="7">
        <v>7</v>
      </c>
    </row>
    <row r="16" spans="1:10" ht="15" thickBot="1" x14ac:dyDescent="0.35">
      <c r="A16" s="20" t="s">
        <v>116</v>
      </c>
      <c r="B16" s="21" t="s">
        <v>148</v>
      </c>
      <c r="C16" s="21" t="s">
        <v>145</v>
      </c>
      <c r="D16" s="22">
        <v>28317</v>
      </c>
      <c r="E16" s="23">
        <v>41431</v>
      </c>
      <c r="F16" s="23" t="s">
        <v>43</v>
      </c>
      <c r="G16" s="24">
        <f t="shared" si="0"/>
        <v>233</v>
      </c>
      <c r="H16" s="25">
        <v>161</v>
      </c>
      <c r="I16" s="25">
        <v>72</v>
      </c>
      <c r="J16" s="25">
        <v>4</v>
      </c>
    </row>
    <row r="17" spans="1:10" ht="20.399999999999999" customHeight="1" thickBot="1" x14ac:dyDescent="0.35">
      <c r="A17" s="43" t="s">
        <v>130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0" x14ac:dyDescent="0.3">
      <c r="A18" s="14" t="s">
        <v>111</v>
      </c>
      <c r="B18" s="15" t="s">
        <v>149</v>
      </c>
      <c r="C18" s="15" t="s">
        <v>150</v>
      </c>
      <c r="D18" s="16">
        <v>28126</v>
      </c>
      <c r="E18" s="17" t="s">
        <v>151</v>
      </c>
      <c r="F18" s="17" t="s">
        <v>60</v>
      </c>
      <c r="G18" s="6">
        <f t="shared" si="0"/>
        <v>312</v>
      </c>
      <c r="H18" s="18">
        <v>195</v>
      </c>
      <c r="I18" s="18">
        <v>117</v>
      </c>
      <c r="J18" s="18">
        <v>2</v>
      </c>
    </row>
    <row r="19" spans="1:10" x14ac:dyDescent="0.3">
      <c r="A19" s="2" t="s">
        <v>112</v>
      </c>
      <c r="B19" s="3" t="s">
        <v>152</v>
      </c>
      <c r="C19" s="3" t="s">
        <v>153</v>
      </c>
      <c r="D19" s="4">
        <v>26471</v>
      </c>
      <c r="E19" s="5">
        <v>40372</v>
      </c>
      <c r="F19" s="5" t="s">
        <v>60</v>
      </c>
      <c r="G19" s="6">
        <f t="shared" si="0"/>
        <v>291</v>
      </c>
      <c r="H19" s="7">
        <v>193</v>
      </c>
      <c r="I19" s="7">
        <v>98</v>
      </c>
      <c r="J19" s="7">
        <v>4</v>
      </c>
    </row>
    <row r="20" spans="1:10" x14ac:dyDescent="0.3">
      <c r="A20" s="2" t="s">
        <v>113</v>
      </c>
      <c r="B20" s="3" t="s">
        <v>154</v>
      </c>
      <c r="C20" s="3" t="s">
        <v>155</v>
      </c>
      <c r="D20" s="4">
        <v>26731</v>
      </c>
      <c r="E20" s="5">
        <v>40785</v>
      </c>
      <c r="F20" s="5" t="s">
        <v>60</v>
      </c>
      <c r="G20" s="6">
        <f t="shared" si="0"/>
        <v>267</v>
      </c>
      <c r="H20" s="7">
        <v>197</v>
      </c>
      <c r="I20" s="7">
        <v>70</v>
      </c>
      <c r="J20" s="7">
        <v>4</v>
      </c>
    </row>
    <row r="21" spans="1:10" x14ac:dyDescent="0.3">
      <c r="A21" s="13" t="s">
        <v>114</v>
      </c>
      <c r="B21" s="3" t="s">
        <v>156</v>
      </c>
      <c r="C21" s="3" t="s">
        <v>157</v>
      </c>
      <c r="D21" s="10">
        <v>26445</v>
      </c>
      <c r="E21" s="5">
        <v>40584</v>
      </c>
      <c r="F21" s="5" t="s">
        <v>60</v>
      </c>
      <c r="G21" s="6">
        <f t="shared" si="0"/>
        <v>261</v>
      </c>
      <c r="H21" s="7">
        <v>175</v>
      </c>
      <c r="I21" s="7">
        <v>86</v>
      </c>
      <c r="J21" s="7">
        <v>2</v>
      </c>
    </row>
    <row r="22" spans="1:10" x14ac:dyDescent="0.3">
      <c r="A22" s="13" t="s">
        <v>115</v>
      </c>
      <c r="B22" s="3" t="s">
        <v>158</v>
      </c>
      <c r="C22" s="3" t="s">
        <v>155</v>
      </c>
      <c r="D22" s="4">
        <v>27578</v>
      </c>
      <c r="E22" s="5">
        <v>40946</v>
      </c>
      <c r="F22" s="5" t="s">
        <v>60</v>
      </c>
      <c r="G22" s="6">
        <f t="shared" si="0"/>
        <v>240</v>
      </c>
      <c r="H22" s="7">
        <v>158</v>
      </c>
      <c r="I22" s="7">
        <v>82</v>
      </c>
      <c r="J22" s="7">
        <v>3</v>
      </c>
    </row>
    <row r="23" spans="1:10" x14ac:dyDescent="0.3">
      <c r="A23" s="20" t="s">
        <v>116</v>
      </c>
      <c r="B23" s="3" t="s">
        <v>159</v>
      </c>
      <c r="C23" s="3" t="s">
        <v>160</v>
      </c>
      <c r="D23" s="4">
        <v>26993</v>
      </c>
      <c r="E23" s="5">
        <v>40854</v>
      </c>
      <c r="F23" s="5" t="s">
        <v>60</v>
      </c>
      <c r="G23" s="6">
        <f t="shared" si="0"/>
        <v>229</v>
      </c>
      <c r="H23" s="7">
        <v>168</v>
      </c>
      <c r="I23" s="7">
        <v>61</v>
      </c>
      <c r="J23" s="7">
        <v>8</v>
      </c>
    </row>
    <row r="24" spans="1:10" x14ac:dyDescent="0.3">
      <c r="A24" s="13" t="s">
        <v>117</v>
      </c>
      <c r="B24" s="3" t="s">
        <v>161</v>
      </c>
      <c r="C24" s="3" t="s">
        <v>155</v>
      </c>
      <c r="D24" s="4">
        <v>28343</v>
      </c>
      <c r="E24" s="5">
        <v>40368</v>
      </c>
      <c r="F24" s="5" t="s">
        <v>60</v>
      </c>
      <c r="G24" s="6">
        <f t="shared" si="0"/>
        <v>228</v>
      </c>
      <c r="H24" s="7">
        <v>161</v>
      </c>
      <c r="I24" s="7">
        <v>67</v>
      </c>
      <c r="J24" s="7">
        <v>5</v>
      </c>
    </row>
    <row r="25" spans="1:10" x14ac:dyDescent="0.3">
      <c r="A25" s="13" t="s">
        <v>118</v>
      </c>
      <c r="B25" s="3" t="s">
        <v>162</v>
      </c>
      <c r="C25" s="3" t="s">
        <v>157</v>
      </c>
      <c r="D25" s="4">
        <v>26869</v>
      </c>
      <c r="E25" s="5">
        <v>40721</v>
      </c>
      <c r="F25" s="5" t="s">
        <v>60</v>
      </c>
      <c r="G25" s="6">
        <f t="shared" si="0"/>
        <v>226</v>
      </c>
      <c r="H25" s="7">
        <v>165</v>
      </c>
      <c r="I25" s="7">
        <v>61</v>
      </c>
      <c r="J25" s="7">
        <v>7</v>
      </c>
    </row>
    <row r="26" spans="1:10" x14ac:dyDescent="0.3">
      <c r="A26" s="13" t="s">
        <v>119</v>
      </c>
      <c r="B26" s="3" t="s">
        <v>163</v>
      </c>
      <c r="C26" s="3" t="s">
        <v>140</v>
      </c>
      <c r="D26" s="4">
        <v>27285</v>
      </c>
      <c r="E26" s="5" t="s">
        <v>164</v>
      </c>
      <c r="F26" s="5" t="s">
        <v>60</v>
      </c>
      <c r="G26" s="6">
        <f t="shared" si="0"/>
        <v>210</v>
      </c>
      <c r="H26" s="7">
        <v>149</v>
      </c>
      <c r="I26" s="7">
        <v>61</v>
      </c>
      <c r="J26" s="7">
        <v>8</v>
      </c>
    </row>
    <row r="27" spans="1:10" x14ac:dyDescent="0.3">
      <c r="A27" s="13" t="s">
        <v>120</v>
      </c>
      <c r="B27" s="3" t="s">
        <v>165</v>
      </c>
      <c r="C27" s="3" t="s">
        <v>166</v>
      </c>
      <c r="D27" s="4">
        <v>27528</v>
      </c>
      <c r="E27" s="5">
        <v>40755</v>
      </c>
      <c r="F27" s="5" t="s">
        <v>60</v>
      </c>
      <c r="G27" s="6">
        <f t="shared" si="0"/>
        <v>208</v>
      </c>
      <c r="H27" s="7">
        <v>160</v>
      </c>
      <c r="I27" s="7">
        <v>48</v>
      </c>
      <c r="J27" s="7">
        <v>12</v>
      </c>
    </row>
    <row r="28" spans="1:10" ht="15" thickBot="1" x14ac:dyDescent="0.35">
      <c r="A28" s="20" t="s">
        <v>121</v>
      </c>
      <c r="B28" s="21" t="s">
        <v>167</v>
      </c>
      <c r="C28" s="21" t="s">
        <v>145</v>
      </c>
      <c r="D28" s="22">
        <v>27322</v>
      </c>
      <c r="E28" s="23">
        <v>40679</v>
      </c>
      <c r="F28" s="23" t="s">
        <v>60</v>
      </c>
      <c r="G28" s="24">
        <v>199</v>
      </c>
      <c r="H28" s="31">
        <v>158</v>
      </c>
      <c r="I28" s="31">
        <v>41</v>
      </c>
      <c r="J28" s="31">
        <v>8</v>
      </c>
    </row>
    <row r="29" spans="1:10" ht="19.2" customHeight="1" thickBot="1" x14ac:dyDescent="0.35">
      <c r="A29" s="43" t="s">
        <v>133</v>
      </c>
      <c r="B29" s="44"/>
      <c r="C29" s="44"/>
      <c r="D29" s="44"/>
      <c r="E29" s="44"/>
      <c r="F29" s="44"/>
      <c r="G29" s="44"/>
      <c r="H29" s="44"/>
      <c r="I29" s="44"/>
      <c r="J29" s="45"/>
    </row>
    <row r="30" spans="1:10" x14ac:dyDescent="0.3">
      <c r="A30" s="14" t="s">
        <v>111</v>
      </c>
      <c r="B30" s="15" t="s">
        <v>168</v>
      </c>
      <c r="C30" s="15" t="s">
        <v>160</v>
      </c>
      <c r="D30" s="16">
        <v>26959</v>
      </c>
      <c r="E30" s="17">
        <v>41305</v>
      </c>
      <c r="F30" s="17" t="s">
        <v>85</v>
      </c>
      <c r="G30" s="6">
        <f>IF(OR(ISBLANK($H30))," ",H30+I30)</f>
        <v>266</v>
      </c>
      <c r="H30" s="18">
        <v>191</v>
      </c>
      <c r="I30" s="18">
        <v>75</v>
      </c>
      <c r="J30" s="18">
        <v>2</v>
      </c>
    </row>
    <row r="31" spans="1:10" x14ac:dyDescent="0.3">
      <c r="A31" s="2" t="s">
        <v>112</v>
      </c>
      <c r="B31" s="3" t="s">
        <v>169</v>
      </c>
      <c r="C31" s="3" t="s">
        <v>138</v>
      </c>
      <c r="D31" s="4">
        <v>27131</v>
      </c>
      <c r="E31" s="5">
        <v>41534</v>
      </c>
      <c r="F31" s="5" t="s">
        <v>85</v>
      </c>
      <c r="G31" s="6">
        <f>IF(OR(ISBLANK($H31))," ",H31+I31)</f>
        <v>259</v>
      </c>
      <c r="H31" s="7">
        <v>167</v>
      </c>
      <c r="I31" s="7">
        <v>92</v>
      </c>
      <c r="J31" s="7">
        <v>2</v>
      </c>
    </row>
    <row r="32" spans="1:10" x14ac:dyDescent="0.3">
      <c r="A32" s="2" t="s">
        <v>113</v>
      </c>
      <c r="B32" s="3" t="s">
        <v>170</v>
      </c>
      <c r="C32" s="3" t="s">
        <v>160</v>
      </c>
      <c r="D32" s="4">
        <v>27063</v>
      </c>
      <c r="E32" s="5">
        <v>41122</v>
      </c>
      <c r="F32" s="5" t="s">
        <v>85</v>
      </c>
      <c r="G32" s="6">
        <f>IF(OR(ISBLANK($H32))," ",H32+I32)</f>
        <v>255</v>
      </c>
      <c r="H32" s="7">
        <v>155</v>
      </c>
      <c r="I32" s="7">
        <v>100</v>
      </c>
      <c r="J32" s="7">
        <v>1</v>
      </c>
    </row>
    <row r="33" spans="1:10" x14ac:dyDescent="0.3">
      <c r="A33" s="13" t="s">
        <v>114</v>
      </c>
      <c r="B33" s="3" t="s">
        <v>171</v>
      </c>
      <c r="C33" s="3" t="s">
        <v>172</v>
      </c>
      <c r="D33" s="4">
        <v>27891</v>
      </c>
      <c r="E33" s="5" t="s">
        <v>173</v>
      </c>
      <c r="F33" s="5" t="s">
        <v>85</v>
      </c>
      <c r="G33" s="6">
        <f>IF(OR(ISBLANK($H33))," ",H33+I33)</f>
        <v>242</v>
      </c>
      <c r="H33" s="7">
        <v>154</v>
      </c>
      <c r="I33" s="7">
        <v>88</v>
      </c>
      <c r="J33" s="7">
        <v>5</v>
      </c>
    </row>
    <row r="34" spans="1:10" x14ac:dyDescent="0.3">
      <c r="A34" s="13" t="s">
        <v>115</v>
      </c>
      <c r="B34" s="3" t="s">
        <v>174</v>
      </c>
      <c r="C34" s="3" t="s">
        <v>143</v>
      </c>
      <c r="D34" s="4">
        <v>28245</v>
      </c>
      <c r="E34" s="5">
        <v>42024</v>
      </c>
      <c r="F34" s="5" t="s">
        <v>85</v>
      </c>
      <c r="G34" s="6">
        <f>IF(OR(ISBLANK($H34))," ",H34+I34)</f>
        <v>226</v>
      </c>
      <c r="H34" s="7">
        <v>152</v>
      </c>
      <c r="I34" s="7">
        <v>74</v>
      </c>
      <c r="J34" s="7">
        <v>6</v>
      </c>
    </row>
    <row r="35" spans="1:10" x14ac:dyDescent="0.3">
      <c r="A35" s="20" t="s">
        <v>116</v>
      </c>
      <c r="B35" s="3" t="s">
        <v>175</v>
      </c>
      <c r="C35" s="3" t="s">
        <v>176</v>
      </c>
      <c r="D35" s="4">
        <v>28362</v>
      </c>
      <c r="E35" s="5" t="s">
        <v>177</v>
      </c>
      <c r="F35" s="5" t="s">
        <v>85</v>
      </c>
      <c r="G35" s="6">
        <v>204</v>
      </c>
      <c r="H35" s="7">
        <v>137</v>
      </c>
      <c r="I35" s="7">
        <v>67</v>
      </c>
      <c r="J35" s="7">
        <v>11</v>
      </c>
    </row>
    <row r="36" spans="1:10" x14ac:dyDescent="0.3">
      <c r="A36" s="13" t="s">
        <v>117</v>
      </c>
      <c r="B36" s="3" t="s">
        <v>178</v>
      </c>
      <c r="C36" s="3" t="s">
        <v>179</v>
      </c>
      <c r="D36" s="4">
        <v>28339</v>
      </c>
      <c r="E36" s="5">
        <v>41925</v>
      </c>
      <c r="F36" s="5" t="s">
        <v>85</v>
      </c>
      <c r="G36" s="6">
        <f t="shared" ref="G36" si="1">IF(OR(ISBLANK($H36))," ",H36+I36)</f>
        <v>166</v>
      </c>
      <c r="H36" s="7">
        <v>105</v>
      </c>
      <c r="I36" s="7">
        <v>61</v>
      </c>
      <c r="J36" s="7">
        <v>12</v>
      </c>
    </row>
  </sheetData>
  <protectedRanges>
    <protectedRange sqref="C15:F17 C19:F36 F18" name="Oblast2_1"/>
    <protectedRange sqref="H9:J36" name="Oblast3_1"/>
    <protectedRange sqref="B15:B17 B19:B36" name="Oblast2_1_1"/>
    <protectedRange sqref="C18:E18" name="Oblast2_1_3"/>
    <protectedRange sqref="B18" name="Oblast2_1_1_2"/>
  </protectedRanges>
  <mergeCells count="15">
    <mergeCell ref="A1:J4"/>
    <mergeCell ref="A5:A7"/>
    <mergeCell ref="B5:B7"/>
    <mergeCell ref="C5:C6"/>
    <mergeCell ref="D5:D7"/>
    <mergeCell ref="E5:E7"/>
    <mergeCell ref="A8:J8"/>
    <mergeCell ref="A10:J10"/>
    <mergeCell ref="A17:J17"/>
    <mergeCell ref="A29:J29"/>
    <mergeCell ref="F5:F7"/>
    <mergeCell ref="G5:G7"/>
    <mergeCell ref="H5:H7"/>
    <mergeCell ref="I5:I7"/>
    <mergeCell ref="J5:J7"/>
  </mergeCells>
  <conditionalFormatting sqref="D9 D11:D16 D30:D36">
    <cfRule type="cellIs" dxfId="12" priority="2" stopIfTrue="1" operator="equal">
      <formula>99999</formula>
    </cfRule>
  </conditionalFormatting>
  <conditionalFormatting sqref="D12">
    <cfRule type="cellIs" dxfId="11" priority="3" stopIfTrue="1" operator="equal">
      <formula>99999</formula>
    </cfRule>
  </conditionalFormatting>
  <conditionalFormatting sqref="D18:D28">
    <cfRule type="cellIs" dxfId="10" priority="1" stopIfTrue="1" operator="equal">
      <formula>99999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5800-A570-4675-A4A5-2DE09E3B1882}">
  <dimension ref="A1:J40"/>
  <sheetViews>
    <sheetView workbookViewId="0">
      <selection activeCell="P15" sqref="P15"/>
    </sheetView>
  </sheetViews>
  <sheetFormatPr defaultRowHeight="14.4" x14ac:dyDescent="0.3"/>
  <cols>
    <col min="2" max="2" width="19" customWidth="1"/>
    <col min="3" max="3" width="17.77734375" customWidth="1"/>
    <col min="5" max="5" width="0" hidden="1" customWidth="1"/>
  </cols>
  <sheetData>
    <row r="1" spans="1:10" x14ac:dyDescent="0.3">
      <c r="A1" s="81" t="s">
        <v>180</v>
      </c>
      <c r="B1" s="82"/>
      <c r="C1" s="82"/>
      <c r="D1" s="82"/>
      <c r="E1" s="82"/>
      <c r="F1" s="82"/>
      <c r="G1" s="82"/>
      <c r="H1" s="82"/>
      <c r="I1" s="82"/>
      <c r="J1" s="83"/>
    </row>
    <row r="2" spans="1:10" x14ac:dyDescent="0.3">
      <c r="A2" s="84"/>
      <c r="B2" s="85"/>
      <c r="C2" s="85"/>
      <c r="D2" s="85"/>
      <c r="E2" s="85"/>
      <c r="F2" s="85"/>
      <c r="G2" s="85"/>
      <c r="H2" s="85"/>
      <c r="I2" s="85"/>
      <c r="J2" s="86"/>
    </row>
    <row r="3" spans="1:10" x14ac:dyDescent="0.3">
      <c r="A3" s="84"/>
      <c r="B3" s="85"/>
      <c r="C3" s="85"/>
      <c r="D3" s="85"/>
      <c r="E3" s="85"/>
      <c r="F3" s="85"/>
      <c r="G3" s="85"/>
      <c r="H3" s="85"/>
      <c r="I3" s="85"/>
      <c r="J3" s="86"/>
    </row>
    <row r="4" spans="1:10" ht="15" thickBot="1" x14ac:dyDescent="0.35">
      <c r="A4" s="87"/>
      <c r="B4" s="88"/>
      <c r="C4" s="88"/>
      <c r="D4" s="88"/>
      <c r="E4" s="88"/>
      <c r="F4" s="88"/>
      <c r="G4" s="88"/>
      <c r="H4" s="88"/>
      <c r="I4" s="88"/>
      <c r="J4" s="89"/>
    </row>
    <row r="5" spans="1:10" ht="15" thickBot="1" x14ac:dyDescent="0.35">
      <c r="A5" s="61"/>
      <c r="B5" s="63" t="s">
        <v>1</v>
      </c>
      <c r="C5" s="65" t="s">
        <v>2</v>
      </c>
      <c r="D5" s="46" t="s">
        <v>3</v>
      </c>
      <c r="E5" s="67" t="s">
        <v>4</v>
      </c>
      <c r="F5" s="46" t="s">
        <v>5</v>
      </c>
      <c r="G5" s="48" t="s">
        <v>6</v>
      </c>
      <c r="H5" s="48" t="s">
        <v>7</v>
      </c>
      <c r="I5" s="48" t="s">
        <v>8</v>
      </c>
      <c r="J5" s="50" t="s">
        <v>9</v>
      </c>
    </row>
    <row r="6" spans="1:10" ht="15" thickBot="1" x14ac:dyDescent="0.35">
      <c r="A6" s="61"/>
      <c r="B6" s="63"/>
      <c r="C6" s="66"/>
      <c r="D6" s="46"/>
      <c r="E6" s="67"/>
      <c r="F6" s="46"/>
      <c r="G6" s="48"/>
      <c r="H6" s="48"/>
      <c r="I6" s="48"/>
      <c r="J6" s="50"/>
    </row>
    <row r="7" spans="1:10" ht="15" thickBot="1" x14ac:dyDescent="0.35">
      <c r="A7" s="62"/>
      <c r="B7" s="64"/>
      <c r="C7" s="1"/>
      <c r="D7" s="47"/>
      <c r="E7" s="68"/>
      <c r="F7" s="47"/>
      <c r="G7" s="49"/>
      <c r="H7" s="49"/>
      <c r="I7" s="49"/>
      <c r="J7" s="51"/>
    </row>
    <row r="8" spans="1:10" ht="22.2" customHeight="1" thickBot="1" x14ac:dyDescent="0.35">
      <c r="A8" s="40" t="s">
        <v>110</v>
      </c>
      <c r="B8" s="41"/>
      <c r="C8" s="41"/>
      <c r="D8" s="41"/>
      <c r="E8" s="41"/>
      <c r="F8" s="41"/>
      <c r="G8" s="41"/>
      <c r="H8" s="41"/>
      <c r="I8" s="41"/>
      <c r="J8" s="42"/>
    </row>
    <row r="9" spans="1:10" x14ac:dyDescent="0.3">
      <c r="A9" s="14" t="s">
        <v>111</v>
      </c>
      <c r="B9" s="15" t="s">
        <v>181</v>
      </c>
      <c r="C9" s="15" t="s">
        <v>182</v>
      </c>
      <c r="D9" s="16">
        <v>26724</v>
      </c>
      <c r="E9" s="17">
        <v>40743</v>
      </c>
      <c r="F9" s="17" t="s">
        <v>12</v>
      </c>
      <c r="G9" s="6">
        <f t="shared" ref="G9:G40" si="0">IF(OR(ISBLANK($H9))," ",H9+I9)</f>
        <v>267</v>
      </c>
      <c r="H9" s="18">
        <v>189</v>
      </c>
      <c r="I9" s="18">
        <v>78</v>
      </c>
      <c r="J9" s="18">
        <v>6</v>
      </c>
    </row>
    <row r="10" spans="1:10" x14ac:dyDescent="0.3">
      <c r="A10" s="2" t="s">
        <v>112</v>
      </c>
      <c r="B10" s="3" t="s">
        <v>183</v>
      </c>
      <c r="C10" s="3" t="s">
        <v>184</v>
      </c>
      <c r="D10" s="10">
        <v>26896</v>
      </c>
      <c r="E10" s="5">
        <v>40451</v>
      </c>
      <c r="F10" s="5" t="s">
        <v>12</v>
      </c>
      <c r="G10" s="6">
        <f t="shared" si="0"/>
        <v>225</v>
      </c>
      <c r="H10" s="7">
        <v>160</v>
      </c>
      <c r="I10" s="7">
        <v>65</v>
      </c>
      <c r="J10" s="7">
        <v>6</v>
      </c>
    </row>
    <row r="11" spans="1:10" x14ac:dyDescent="0.3">
      <c r="A11" s="2" t="s">
        <v>113</v>
      </c>
      <c r="B11" s="3" t="s">
        <v>185</v>
      </c>
      <c r="C11" s="3" t="s">
        <v>155</v>
      </c>
      <c r="D11" s="4">
        <v>26696</v>
      </c>
      <c r="E11" s="5">
        <v>40611</v>
      </c>
      <c r="F11" s="5" t="s">
        <v>12</v>
      </c>
      <c r="G11" s="6">
        <f t="shared" si="0"/>
        <v>223</v>
      </c>
      <c r="H11" s="7">
        <v>169</v>
      </c>
      <c r="I11" s="7">
        <v>54</v>
      </c>
      <c r="J11" s="7">
        <v>9</v>
      </c>
    </row>
    <row r="12" spans="1:10" ht="15" thickBot="1" x14ac:dyDescent="0.35">
      <c r="A12" s="13" t="s">
        <v>114</v>
      </c>
      <c r="B12" s="3" t="s">
        <v>186</v>
      </c>
      <c r="C12" s="3" t="s">
        <v>187</v>
      </c>
      <c r="D12" s="4">
        <v>27138</v>
      </c>
      <c r="E12" s="5">
        <v>40609</v>
      </c>
      <c r="F12" s="5" t="s">
        <v>12</v>
      </c>
      <c r="G12" s="6">
        <f t="shared" si="0"/>
        <v>220</v>
      </c>
      <c r="H12" s="7">
        <v>160</v>
      </c>
      <c r="I12" s="7">
        <v>60</v>
      </c>
      <c r="J12" s="7">
        <v>5</v>
      </c>
    </row>
    <row r="13" spans="1:10" ht="18" customHeight="1" thickBot="1" x14ac:dyDescent="0.35">
      <c r="A13" s="43" t="s">
        <v>129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0" x14ac:dyDescent="0.3">
      <c r="A14" s="14" t="s">
        <v>111</v>
      </c>
      <c r="B14" s="15" t="s">
        <v>190</v>
      </c>
      <c r="C14" s="15" t="s">
        <v>182</v>
      </c>
      <c r="D14" s="16">
        <v>26928</v>
      </c>
      <c r="E14" s="17">
        <v>41398</v>
      </c>
      <c r="F14" s="17" t="s">
        <v>43</v>
      </c>
      <c r="G14" s="6">
        <f t="shared" si="0"/>
        <v>292</v>
      </c>
      <c r="H14" s="18">
        <v>182</v>
      </c>
      <c r="I14" s="18">
        <v>110</v>
      </c>
      <c r="J14" s="18">
        <v>2</v>
      </c>
    </row>
    <row r="15" spans="1:10" x14ac:dyDescent="0.3">
      <c r="A15" s="2" t="s">
        <v>112</v>
      </c>
      <c r="B15" s="3" t="s">
        <v>191</v>
      </c>
      <c r="C15" s="3" t="s">
        <v>192</v>
      </c>
      <c r="D15" s="4">
        <v>27561</v>
      </c>
      <c r="E15" s="5" t="s">
        <v>193</v>
      </c>
      <c r="F15" s="5" t="s">
        <v>43</v>
      </c>
      <c r="G15" s="6">
        <f t="shared" si="0"/>
        <v>276</v>
      </c>
      <c r="H15" s="7">
        <v>177</v>
      </c>
      <c r="I15" s="7">
        <v>99</v>
      </c>
      <c r="J15" s="7">
        <v>3</v>
      </c>
    </row>
    <row r="16" spans="1:10" x14ac:dyDescent="0.3">
      <c r="A16" s="2" t="s">
        <v>113</v>
      </c>
      <c r="B16" s="3" t="s">
        <v>194</v>
      </c>
      <c r="C16" s="3" t="s">
        <v>182</v>
      </c>
      <c r="D16" s="4">
        <v>27987</v>
      </c>
      <c r="E16" s="5">
        <v>41277</v>
      </c>
      <c r="F16" s="5" t="s">
        <v>43</v>
      </c>
      <c r="G16" s="6">
        <f t="shared" si="0"/>
        <v>263</v>
      </c>
      <c r="H16" s="7">
        <v>165</v>
      </c>
      <c r="I16" s="7">
        <v>98</v>
      </c>
      <c r="J16" s="7">
        <v>7</v>
      </c>
    </row>
    <row r="17" spans="1:10" x14ac:dyDescent="0.3">
      <c r="A17" s="13" t="s">
        <v>114</v>
      </c>
      <c r="B17" s="3" t="s">
        <v>195</v>
      </c>
      <c r="C17" s="3" t="s">
        <v>172</v>
      </c>
      <c r="D17" s="4">
        <v>27218</v>
      </c>
      <c r="E17" s="5">
        <v>41323</v>
      </c>
      <c r="F17" s="5" t="s">
        <v>43</v>
      </c>
      <c r="G17" s="6">
        <f t="shared" si="0"/>
        <v>257</v>
      </c>
      <c r="H17" s="7">
        <v>160</v>
      </c>
      <c r="I17" s="7">
        <v>97</v>
      </c>
      <c r="J17" s="7">
        <v>4</v>
      </c>
    </row>
    <row r="18" spans="1:10" x14ac:dyDescent="0.3">
      <c r="A18" s="20" t="s">
        <v>115</v>
      </c>
      <c r="B18" s="3" t="s">
        <v>196</v>
      </c>
      <c r="C18" s="3" t="s">
        <v>187</v>
      </c>
      <c r="D18" s="4">
        <v>27144</v>
      </c>
      <c r="E18" s="5">
        <v>41338</v>
      </c>
      <c r="F18" s="5" t="s">
        <v>43</v>
      </c>
      <c r="G18" s="6">
        <f t="shared" si="0"/>
        <v>254</v>
      </c>
      <c r="H18" s="7">
        <v>170</v>
      </c>
      <c r="I18" s="7">
        <v>84</v>
      </c>
      <c r="J18" s="7">
        <v>4</v>
      </c>
    </row>
    <row r="19" spans="1:10" x14ac:dyDescent="0.3">
      <c r="A19" s="20" t="s">
        <v>117</v>
      </c>
      <c r="B19" s="21" t="s">
        <v>188</v>
      </c>
      <c r="C19" s="21" t="s">
        <v>189</v>
      </c>
      <c r="D19" s="22">
        <v>27075</v>
      </c>
      <c r="E19" s="23">
        <v>41161</v>
      </c>
      <c r="F19" s="23" t="s">
        <v>12</v>
      </c>
      <c r="G19" s="24">
        <f t="shared" ref="G19" si="1">IF(OR(ISBLANK($H19))," ",H19+I19)</f>
        <v>201</v>
      </c>
      <c r="H19" s="25">
        <v>148</v>
      </c>
      <c r="I19" s="25">
        <v>53</v>
      </c>
      <c r="J19" s="25">
        <v>11</v>
      </c>
    </row>
    <row r="20" spans="1:10" x14ac:dyDescent="0.3">
      <c r="A20" s="13" t="s">
        <v>118</v>
      </c>
      <c r="B20" s="3" t="s">
        <v>197</v>
      </c>
      <c r="C20" s="3" t="s">
        <v>184</v>
      </c>
      <c r="D20" s="4">
        <v>26840</v>
      </c>
      <c r="E20" s="5">
        <v>41505</v>
      </c>
      <c r="F20" s="5" t="s">
        <v>43</v>
      </c>
      <c r="G20" s="6">
        <f t="shared" si="0"/>
        <v>226</v>
      </c>
      <c r="H20" s="7">
        <v>146</v>
      </c>
      <c r="I20" s="7">
        <v>80</v>
      </c>
      <c r="J20" s="7">
        <v>6</v>
      </c>
    </row>
    <row r="21" spans="1:10" x14ac:dyDescent="0.3">
      <c r="A21" s="13" t="s">
        <v>119</v>
      </c>
      <c r="B21" s="3" t="s">
        <v>198</v>
      </c>
      <c r="C21" s="3" t="s">
        <v>189</v>
      </c>
      <c r="D21" s="4">
        <v>28355</v>
      </c>
      <c r="E21" s="5">
        <v>42627</v>
      </c>
      <c r="F21" s="5" t="s">
        <v>43</v>
      </c>
      <c r="G21" s="6">
        <f t="shared" si="0"/>
        <v>151</v>
      </c>
      <c r="H21" s="7">
        <v>83</v>
      </c>
      <c r="I21" s="7">
        <v>68</v>
      </c>
      <c r="J21" s="7">
        <v>22</v>
      </c>
    </row>
    <row r="22" spans="1:10" ht="15" thickBot="1" x14ac:dyDescent="0.35">
      <c r="A22" s="20" t="s">
        <v>120</v>
      </c>
      <c r="B22" s="21" t="s">
        <v>199</v>
      </c>
      <c r="C22" s="21" t="s">
        <v>200</v>
      </c>
      <c r="D22" s="22">
        <v>28107</v>
      </c>
      <c r="E22" s="23">
        <v>41832</v>
      </c>
      <c r="F22" s="23" t="s">
        <v>43</v>
      </c>
      <c r="G22" s="24">
        <f t="shared" si="0"/>
        <v>91</v>
      </c>
      <c r="H22" s="25">
        <v>46</v>
      </c>
      <c r="I22" s="25">
        <v>45</v>
      </c>
      <c r="J22" s="25">
        <v>31</v>
      </c>
    </row>
    <row r="23" spans="1:10" ht="19.8" customHeight="1" thickBot="1" x14ac:dyDescent="0.35">
      <c r="A23" s="43" t="s">
        <v>130</v>
      </c>
      <c r="B23" s="44"/>
      <c r="C23" s="44"/>
      <c r="D23" s="44"/>
      <c r="E23" s="44"/>
      <c r="F23" s="44"/>
      <c r="G23" s="44"/>
      <c r="H23" s="44"/>
      <c r="I23" s="44"/>
      <c r="J23" s="45"/>
    </row>
    <row r="24" spans="1:10" x14ac:dyDescent="0.3">
      <c r="A24" s="14" t="s">
        <v>111</v>
      </c>
      <c r="B24" s="15" t="s">
        <v>201</v>
      </c>
      <c r="C24" s="15" t="s">
        <v>187</v>
      </c>
      <c r="D24" s="16">
        <v>27142</v>
      </c>
      <c r="E24" s="17">
        <v>40414</v>
      </c>
      <c r="F24" s="17" t="s">
        <v>60</v>
      </c>
      <c r="G24" s="6">
        <f t="shared" si="0"/>
        <v>257</v>
      </c>
      <c r="H24" s="18">
        <v>170</v>
      </c>
      <c r="I24" s="18">
        <v>87</v>
      </c>
      <c r="J24" s="18">
        <v>5</v>
      </c>
    </row>
    <row r="25" spans="1:10" x14ac:dyDescent="0.3">
      <c r="A25" s="2" t="s">
        <v>112</v>
      </c>
      <c r="B25" s="3" t="s">
        <v>202</v>
      </c>
      <c r="C25" s="3" t="s">
        <v>203</v>
      </c>
      <c r="D25" s="4">
        <v>26635</v>
      </c>
      <c r="E25" s="5">
        <v>41066</v>
      </c>
      <c r="F25" s="5" t="s">
        <v>60</v>
      </c>
      <c r="G25" s="6">
        <f t="shared" si="0"/>
        <v>251</v>
      </c>
      <c r="H25" s="7">
        <v>172</v>
      </c>
      <c r="I25" s="7">
        <v>79</v>
      </c>
      <c r="J25" s="7">
        <v>3</v>
      </c>
    </row>
    <row r="26" spans="1:10" x14ac:dyDescent="0.3">
      <c r="A26" s="2" t="s">
        <v>113</v>
      </c>
      <c r="B26" s="3" t="s">
        <v>204</v>
      </c>
      <c r="C26" s="3" t="s">
        <v>187</v>
      </c>
      <c r="D26" s="4">
        <v>27145</v>
      </c>
      <c r="E26" s="5">
        <v>40727</v>
      </c>
      <c r="F26" s="5" t="s">
        <v>60</v>
      </c>
      <c r="G26" s="6">
        <f t="shared" si="0"/>
        <v>249</v>
      </c>
      <c r="H26" s="7">
        <v>179</v>
      </c>
      <c r="I26" s="7">
        <v>70</v>
      </c>
      <c r="J26" s="7">
        <v>6</v>
      </c>
    </row>
    <row r="27" spans="1:10" x14ac:dyDescent="0.3">
      <c r="A27" s="13" t="s">
        <v>114</v>
      </c>
      <c r="B27" s="3" t="s">
        <v>205</v>
      </c>
      <c r="C27" s="3" t="s">
        <v>187</v>
      </c>
      <c r="D27" s="4">
        <v>27147</v>
      </c>
      <c r="E27" s="5">
        <v>40498</v>
      </c>
      <c r="F27" s="5" t="s">
        <v>60</v>
      </c>
      <c r="G27" s="6">
        <f t="shared" si="0"/>
        <v>238</v>
      </c>
      <c r="H27" s="7">
        <v>169</v>
      </c>
      <c r="I27" s="7">
        <v>69</v>
      </c>
      <c r="J27" s="7">
        <v>5</v>
      </c>
    </row>
    <row r="28" spans="1:10" x14ac:dyDescent="0.3">
      <c r="A28" s="20" t="s">
        <v>115</v>
      </c>
      <c r="B28" s="3" t="s">
        <v>206</v>
      </c>
      <c r="C28" s="3" t="s">
        <v>200</v>
      </c>
      <c r="D28" s="4">
        <v>27683</v>
      </c>
      <c r="E28" s="5">
        <v>40599</v>
      </c>
      <c r="F28" s="5" t="s">
        <v>60</v>
      </c>
      <c r="G28" s="6">
        <f t="shared" si="0"/>
        <v>233</v>
      </c>
      <c r="H28" s="7">
        <v>162</v>
      </c>
      <c r="I28" s="7">
        <v>71</v>
      </c>
      <c r="J28" s="7">
        <v>5</v>
      </c>
    </row>
    <row r="29" spans="1:10" x14ac:dyDescent="0.3">
      <c r="A29" s="13" t="s">
        <v>116</v>
      </c>
      <c r="B29" s="3" t="s">
        <v>207</v>
      </c>
      <c r="C29" s="3" t="s">
        <v>184</v>
      </c>
      <c r="D29" s="4">
        <v>27737</v>
      </c>
      <c r="E29" s="5">
        <v>40436</v>
      </c>
      <c r="F29" s="5" t="s">
        <v>60</v>
      </c>
      <c r="G29" s="6">
        <f t="shared" si="0"/>
        <v>215</v>
      </c>
      <c r="H29" s="7">
        <v>161</v>
      </c>
      <c r="I29" s="7">
        <v>54</v>
      </c>
      <c r="J29" s="7">
        <v>11</v>
      </c>
    </row>
    <row r="30" spans="1:10" x14ac:dyDescent="0.3">
      <c r="A30" s="13" t="s">
        <v>117</v>
      </c>
      <c r="B30" s="3" t="s">
        <v>208</v>
      </c>
      <c r="C30" s="3" t="s">
        <v>189</v>
      </c>
      <c r="D30" s="4">
        <v>27463</v>
      </c>
      <c r="E30" s="5">
        <v>40461</v>
      </c>
      <c r="F30" s="5" t="s">
        <v>60</v>
      </c>
      <c r="G30" s="6">
        <f t="shared" si="0"/>
        <v>201</v>
      </c>
      <c r="H30" s="7">
        <v>152</v>
      </c>
      <c r="I30" s="7">
        <v>49</v>
      </c>
      <c r="J30" s="7">
        <v>9</v>
      </c>
    </row>
    <row r="31" spans="1:10" x14ac:dyDescent="0.3">
      <c r="A31" s="20" t="s">
        <v>118</v>
      </c>
      <c r="B31" s="3" t="s">
        <v>209</v>
      </c>
      <c r="C31" s="3" t="s">
        <v>200</v>
      </c>
      <c r="D31" s="4">
        <v>28111</v>
      </c>
      <c r="E31" s="5">
        <v>40916</v>
      </c>
      <c r="F31" s="5" t="s">
        <v>60</v>
      </c>
      <c r="G31" s="6">
        <f t="shared" si="0"/>
        <v>197</v>
      </c>
      <c r="H31" s="7">
        <v>148</v>
      </c>
      <c r="I31" s="7">
        <v>49</v>
      </c>
      <c r="J31" s="7">
        <v>13</v>
      </c>
    </row>
    <row r="32" spans="1:10" ht="15" thickBot="1" x14ac:dyDescent="0.35">
      <c r="A32" s="20" t="s">
        <v>119</v>
      </c>
      <c r="B32" s="21" t="s">
        <v>210</v>
      </c>
      <c r="C32" s="21" t="s">
        <v>189</v>
      </c>
      <c r="D32" s="22">
        <v>27984</v>
      </c>
      <c r="E32" s="23">
        <v>40929</v>
      </c>
      <c r="F32" s="23" t="s">
        <v>60</v>
      </c>
      <c r="G32" s="24">
        <f t="shared" si="0"/>
        <v>193</v>
      </c>
      <c r="H32" s="25">
        <v>154</v>
      </c>
      <c r="I32" s="25">
        <v>39</v>
      </c>
      <c r="J32" s="25">
        <v>17</v>
      </c>
    </row>
    <row r="33" spans="1:10" ht="19.8" customHeight="1" thickBot="1" x14ac:dyDescent="0.35">
      <c r="A33" s="43" t="s">
        <v>133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x14ac:dyDescent="0.3">
      <c r="A34" s="14" t="s">
        <v>111</v>
      </c>
      <c r="B34" s="15" t="s">
        <v>211</v>
      </c>
      <c r="C34" s="15" t="s">
        <v>212</v>
      </c>
      <c r="D34" s="16">
        <v>27358</v>
      </c>
      <c r="E34" s="17">
        <v>41181</v>
      </c>
      <c r="F34" s="17" t="s">
        <v>85</v>
      </c>
      <c r="G34" s="6">
        <f t="shared" si="0"/>
        <v>261</v>
      </c>
      <c r="H34" s="18">
        <v>174</v>
      </c>
      <c r="I34" s="18">
        <v>87</v>
      </c>
      <c r="J34" s="18">
        <v>4</v>
      </c>
    </row>
    <row r="35" spans="1:10" x14ac:dyDescent="0.3">
      <c r="A35" s="2" t="s">
        <v>112</v>
      </c>
      <c r="B35" s="3" t="s">
        <v>213</v>
      </c>
      <c r="C35" s="3" t="s">
        <v>187</v>
      </c>
      <c r="D35" s="4">
        <v>27137</v>
      </c>
      <c r="E35" s="5">
        <v>41179</v>
      </c>
      <c r="F35" s="5" t="s">
        <v>85</v>
      </c>
      <c r="G35" s="6">
        <f t="shared" si="0"/>
        <v>259</v>
      </c>
      <c r="H35" s="7">
        <v>165</v>
      </c>
      <c r="I35" s="7">
        <v>94</v>
      </c>
      <c r="J35" s="7">
        <v>2</v>
      </c>
    </row>
    <row r="36" spans="1:10" x14ac:dyDescent="0.3">
      <c r="A36" s="2" t="s">
        <v>113</v>
      </c>
      <c r="B36" s="3" t="s">
        <v>214</v>
      </c>
      <c r="C36" s="3" t="s">
        <v>182</v>
      </c>
      <c r="D36" s="4">
        <v>27635</v>
      </c>
      <c r="E36" s="5">
        <v>41421</v>
      </c>
      <c r="F36" s="5" t="s">
        <v>85</v>
      </c>
      <c r="G36" s="6">
        <f t="shared" si="0"/>
        <v>254</v>
      </c>
      <c r="H36" s="7">
        <v>177</v>
      </c>
      <c r="I36" s="7">
        <v>77</v>
      </c>
      <c r="J36" s="7">
        <v>5</v>
      </c>
    </row>
    <row r="37" spans="1:10" x14ac:dyDescent="0.3">
      <c r="A37" s="13" t="s">
        <v>114</v>
      </c>
      <c r="B37" s="3" t="s">
        <v>215</v>
      </c>
      <c r="C37" s="3" t="s">
        <v>200</v>
      </c>
      <c r="D37" s="4">
        <v>27681</v>
      </c>
      <c r="E37" s="5">
        <v>42049</v>
      </c>
      <c r="F37" s="5" t="s">
        <v>85</v>
      </c>
      <c r="G37" s="6">
        <f t="shared" si="0"/>
        <v>245</v>
      </c>
      <c r="H37" s="7">
        <v>160</v>
      </c>
      <c r="I37" s="7">
        <v>85</v>
      </c>
      <c r="J37" s="7">
        <v>6</v>
      </c>
    </row>
    <row r="38" spans="1:10" x14ac:dyDescent="0.3">
      <c r="A38" s="20" t="s">
        <v>115</v>
      </c>
      <c r="B38" s="3" t="s">
        <v>216</v>
      </c>
      <c r="C38" s="3" t="s">
        <v>212</v>
      </c>
      <c r="D38" s="4">
        <v>27359</v>
      </c>
      <c r="E38" s="5">
        <v>41753</v>
      </c>
      <c r="F38" s="5" t="s">
        <v>85</v>
      </c>
      <c r="G38" s="6">
        <f t="shared" si="0"/>
        <v>218</v>
      </c>
      <c r="H38" s="7">
        <v>130</v>
      </c>
      <c r="I38" s="7">
        <v>88</v>
      </c>
      <c r="J38" s="7">
        <v>5</v>
      </c>
    </row>
    <row r="39" spans="1:10" x14ac:dyDescent="0.3">
      <c r="A39" s="13" t="s">
        <v>116</v>
      </c>
      <c r="B39" s="3" t="s">
        <v>217</v>
      </c>
      <c r="C39" s="3" t="s">
        <v>200</v>
      </c>
      <c r="D39" s="4">
        <v>28112</v>
      </c>
      <c r="E39" s="5">
        <v>42189</v>
      </c>
      <c r="F39" s="5" t="s">
        <v>85</v>
      </c>
      <c r="G39" s="6">
        <f t="shared" si="0"/>
        <v>212</v>
      </c>
      <c r="H39" s="7">
        <v>135</v>
      </c>
      <c r="I39" s="7">
        <v>77</v>
      </c>
      <c r="J39" s="7">
        <v>6</v>
      </c>
    </row>
    <row r="40" spans="1:10" x14ac:dyDescent="0.3">
      <c r="A40" s="13" t="s">
        <v>117</v>
      </c>
      <c r="B40" s="3" t="s">
        <v>218</v>
      </c>
      <c r="C40" s="3" t="s">
        <v>189</v>
      </c>
      <c r="D40" s="4">
        <v>28301</v>
      </c>
      <c r="E40" s="5">
        <v>42219</v>
      </c>
      <c r="F40" s="5" t="s">
        <v>85</v>
      </c>
      <c r="G40" s="6">
        <f t="shared" si="0"/>
        <v>212</v>
      </c>
      <c r="H40" s="7">
        <v>147</v>
      </c>
      <c r="I40" s="7">
        <v>65</v>
      </c>
      <c r="J40" s="7">
        <v>12</v>
      </c>
    </row>
  </sheetData>
  <protectedRanges>
    <protectedRange sqref="C14:F18 C20:F40" name="Oblast2_1"/>
    <protectedRange sqref="H13:J40 H9:J12" name="Oblast3_1"/>
    <protectedRange sqref="B14:B18 B20:B40" name="Oblast2_1_1"/>
  </protectedRanges>
  <mergeCells count="15">
    <mergeCell ref="A1:J4"/>
    <mergeCell ref="A5:A7"/>
    <mergeCell ref="B5:B7"/>
    <mergeCell ref="C5:C6"/>
    <mergeCell ref="D5:D7"/>
    <mergeCell ref="E5:E7"/>
    <mergeCell ref="A8:J8"/>
    <mergeCell ref="A13:J13"/>
    <mergeCell ref="A23:J23"/>
    <mergeCell ref="A33:J33"/>
    <mergeCell ref="F5:F7"/>
    <mergeCell ref="G5:G7"/>
    <mergeCell ref="H5:H7"/>
    <mergeCell ref="I5:I7"/>
    <mergeCell ref="J5:J7"/>
  </mergeCells>
  <conditionalFormatting sqref="D9:D12 D24:D32 D34:D40 D14:D22">
    <cfRule type="cellIs" dxfId="9" priority="1" stopIfTrue="1" operator="equal">
      <formula>99999</formula>
    </cfRule>
  </conditionalFormatting>
  <conditionalFormatting sqref="D11">
    <cfRule type="cellIs" dxfId="8" priority="2" stopIfTrue="1" operator="equal">
      <formula>99999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854F-8862-47E7-A939-567C71146325}">
  <dimension ref="A1:J97"/>
  <sheetViews>
    <sheetView workbookViewId="0">
      <selection activeCell="P87" sqref="P87"/>
    </sheetView>
  </sheetViews>
  <sheetFormatPr defaultRowHeight="14.4" x14ac:dyDescent="0.3"/>
  <cols>
    <col min="2" max="2" width="20.77734375" customWidth="1"/>
    <col min="3" max="3" width="18.33203125" customWidth="1"/>
    <col min="5" max="5" width="0" hidden="1" customWidth="1"/>
  </cols>
  <sheetData>
    <row r="1" spans="1:10" ht="15" customHeight="1" x14ac:dyDescent="0.3">
      <c r="A1" s="72" t="s">
        <v>220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14.4" customHeight="1" x14ac:dyDescent="0.3">
      <c r="A2" s="75"/>
      <c r="B2" s="114"/>
      <c r="C2" s="114"/>
      <c r="D2" s="114"/>
      <c r="E2" s="114"/>
      <c r="F2" s="114"/>
      <c r="G2" s="114"/>
      <c r="H2" s="114"/>
      <c r="I2" s="114"/>
      <c r="J2" s="77"/>
    </row>
    <row r="3" spans="1:10" ht="14.4" customHeight="1" x14ac:dyDescent="0.3">
      <c r="A3" s="75"/>
      <c r="B3" s="114"/>
      <c r="C3" s="114"/>
      <c r="D3" s="114"/>
      <c r="E3" s="114"/>
      <c r="F3" s="114"/>
      <c r="G3" s="114"/>
      <c r="H3" s="114"/>
      <c r="I3" s="114"/>
      <c r="J3" s="77"/>
    </row>
    <row r="4" spans="1:10" ht="15" customHeight="1" thickBot="1" x14ac:dyDescent="0.35">
      <c r="A4" s="78"/>
      <c r="B4" s="79"/>
      <c r="C4" s="79"/>
      <c r="D4" s="79"/>
      <c r="E4" s="79"/>
      <c r="F4" s="79"/>
      <c r="G4" s="79"/>
      <c r="H4" s="79"/>
      <c r="I4" s="79"/>
      <c r="J4" s="80"/>
    </row>
    <row r="5" spans="1:10" ht="15" customHeight="1" thickBot="1" x14ac:dyDescent="0.35">
      <c r="A5" s="61"/>
      <c r="B5" s="63" t="s">
        <v>1</v>
      </c>
      <c r="C5" s="65" t="s">
        <v>2</v>
      </c>
      <c r="D5" s="46" t="s">
        <v>3</v>
      </c>
      <c r="E5" s="67" t="s">
        <v>4</v>
      </c>
      <c r="F5" s="46" t="s">
        <v>5</v>
      </c>
      <c r="G5" s="48" t="s">
        <v>6</v>
      </c>
      <c r="H5" s="48" t="s">
        <v>7</v>
      </c>
      <c r="I5" s="48" t="s">
        <v>8</v>
      </c>
      <c r="J5" s="50" t="s">
        <v>9</v>
      </c>
    </row>
    <row r="6" spans="1:10" ht="15" thickBot="1" x14ac:dyDescent="0.35">
      <c r="A6" s="61"/>
      <c r="B6" s="63"/>
      <c r="C6" s="66"/>
      <c r="D6" s="46"/>
      <c r="E6" s="67"/>
      <c r="F6" s="46"/>
      <c r="G6" s="48"/>
      <c r="H6" s="48"/>
      <c r="I6" s="48"/>
      <c r="J6" s="50"/>
    </row>
    <row r="7" spans="1:10" ht="15" thickBot="1" x14ac:dyDescent="0.35">
      <c r="A7" s="62"/>
      <c r="B7" s="64"/>
      <c r="C7" s="1"/>
      <c r="D7" s="47"/>
      <c r="E7" s="68"/>
      <c r="F7" s="47"/>
      <c r="G7" s="49"/>
      <c r="H7" s="49"/>
      <c r="I7" s="49"/>
      <c r="J7" s="51"/>
    </row>
    <row r="8" spans="1:10" ht="22.2" customHeight="1" thickBot="1" x14ac:dyDescent="0.35">
      <c r="A8" s="40" t="s">
        <v>110</v>
      </c>
      <c r="B8" s="41"/>
      <c r="C8" s="41"/>
      <c r="D8" s="41"/>
      <c r="E8" s="41"/>
      <c r="F8" s="41"/>
      <c r="G8" s="41"/>
      <c r="H8" s="41"/>
      <c r="I8" s="41"/>
      <c r="J8" s="42"/>
    </row>
    <row r="9" spans="1:10" x14ac:dyDescent="0.3">
      <c r="A9" s="14" t="s">
        <v>111</v>
      </c>
      <c r="B9" s="15" t="s">
        <v>221</v>
      </c>
      <c r="C9" s="15" t="s">
        <v>222</v>
      </c>
      <c r="D9" s="16">
        <v>26376</v>
      </c>
      <c r="E9" s="17">
        <v>40591</v>
      </c>
      <c r="F9" s="17" t="s">
        <v>12</v>
      </c>
      <c r="G9" s="6">
        <f t="shared" ref="G9:G75" si="0">IF(OR(ISBLANK($H9))," ",H9+I9)</f>
        <v>259</v>
      </c>
      <c r="H9" s="18">
        <f>84+81</f>
        <v>165</v>
      </c>
      <c r="I9" s="18">
        <f>43+51</f>
        <v>94</v>
      </c>
      <c r="J9" s="18">
        <v>1</v>
      </c>
    </row>
    <row r="10" spans="1:10" x14ac:dyDescent="0.3">
      <c r="A10" s="2" t="s">
        <v>112</v>
      </c>
      <c r="B10" s="3" t="s">
        <v>223</v>
      </c>
      <c r="C10" s="3" t="s">
        <v>224</v>
      </c>
      <c r="D10" s="4">
        <v>26799</v>
      </c>
      <c r="E10" s="5">
        <v>40989</v>
      </c>
      <c r="F10" s="5" t="s">
        <v>12</v>
      </c>
      <c r="G10" s="6">
        <f t="shared" si="0"/>
        <v>252</v>
      </c>
      <c r="H10" s="7">
        <f>92+92</f>
        <v>184</v>
      </c>
      <c r="I10" s="7">
        <f>35+33</f>
        <v>68</v>
      </c>
      <c r="J10" s="7">
        <v>6</v>
      </c>
    </row>
    <row r="11" spans="1:10" x14ac:dyDescent="0.3">
      <c r="A11" s="2" t="s">
        <v>113</v>
      </c>
      <c r="B11" s="3" t="s">
        <v>225</v>
      </c>
      <c r="C11" s="3" t="s">
        <v>226</v>
      </c>
      <c r="D11" s="4">
        <v>26573</v>
      </c>
      <c r="E11" s="5">
        <v>40435</v>
      </c>
      <c r="F11" s="5" t="s">
        <v>12</v>
      </c>
      <c r="G11" s="6">
        <f t="shared" si="0"/>
        <v>240</v>
      </c>
      <c r="H11" s="7">
        <f>85+76</f>
        <v>161</v>
      </c>
      <c r="I11" s="7">
        <f>35+44</f>
        <v>79</v>
      </c>
      <c r="J11" s="7">
        <v>5</v>
      </c>
    </row>
    <row r="12" spans="1:10" x14ac:dyDescent="0.3">
      <c r="A12" s="13" t="s">
        <v>114</v>
      </c>
      <c r="B12" s="3" t="s">
        <v>227</v>
      </c>
      <c r="C12" s="3" t="s">
        <v>228</v>
      </c>
      <c r="D12" s="4">
        <v>27111</v>
      </c>
      <c r="E12" s="5">
        <v>40888</v>
      </c>
      <c r="F12" s="5" t="s">
        <v>12</v>
      </c>
      <c r="G12" s="6">
        <f t="shared" si="0"/>
        <v>239</v>
      </c>
      <c r="H12" s="7">
        <f>96+81</f>
        <v>177</v>
      </c>
      <c r="I12" s="7">
        <f>26+36</f>
        <v>62</v>
      </c>
      <c r="J12" s="7">
        <v>7</v>
      </c>
    </row>
    <row r="13" spans="1:10" x14ac:dyDescent="0.3">
      <c r="A13" s="13" t="s">
        <v>115</v>
      </c>
      <c r="B13" s="3" t="s">
        <v>229</v>
      </c>
      <c r="C13" s="3" t="s">
        <v>222</v>
      </c>
      <c r="D13" s="4">
        <v>27121</v>
      </c>
      <c r="E13" s="5">
        <v>40880</v>
      </c>
      <c r="F13" s="5" t="s">
        <v>12</v>
      </c>
      <c r="G13" s="6">
        <f t="shared" si="0"/>
        <v>230</v>
      </c>
      <c r="H13" s="7">
        <f>83+85</f>
        <v>168</v>
      </c>
      <c r="I13" s="7">
        <f>35+27</f>
        <v>62</v>
      </c>
      <c r="J13" s="7">
        <v>4</v>
      </c>
    </row>
    <row r="14" spans="1:10" ht="15" thickBot="1" x14ac:dyDescent="0.35">
      <c r="A14" s="20" t="s">
        <v>116</v>
      </c>
      <c r="B14" s="21" t="s">
        <v>230</v>
      </c>
      <c r="C14" s="21" t="s">
        <v>222</v>
      </c>
      <c r="D14" s="22">
        <v>27198</v>
      </c>
      <c r="E14" s="23">
        <v>40623</v>
      </c>
      <c r="F14" s="23" t="s">
        <v>12</v>
      </c>
      <c r="G14" s="24">
        <f t="shared" si="0"/>
        <v>219</v>
      </c>
      <c r="H14" s="25">
        <f>74+85</f>
        <v>159</v>
      </c>
      <c r="I14" s="25">
        <f>43+17</f>
        <v>60</v>
      </c>
      <c r="J14" s="25">
        <v>11</v>
      </c>
    </row>
    <row r="15" spans="1:10" ht="20.399999999999999" customHeight="1" thickBot="1" x14ac:dyDescent="0.35">
      <c r="A15" s="43" t="s">
        <v>129</v>
      </c>
      <c r="B15" s="44"/>
      <c r="C15" s="44"/>
      <c r="D15" s="44"/>
      <c r="E15" s="44"/>
      <c r="F15" s="44"/>
      <c r="G15" s="44"/>
      <c r="H15" s="44"/>
      <c r="I15" s="44"/>
      <c r="J15" s="45"/>
    </row>
    <row r="16" spans="1:10" x14ac:dyDescent="0.3">
      <c r="A16" s="14" t="s">
        <v>111</v>
      </c>
      <c r="B16" s="15" t="s">
        <v>231</v>
      </c>
      <c r="C16" s="15" t="s">
        <v>232</v>
      </c>
      <c r="D16" s="16">
        <v>27794</v>
      </c>
      <c r="E16" s="17">
        <v>41479</v>
      </c>
      <c r="F16" s="17" t="s">
        <v>43</v>
      </c>
      <c r="G16" s="6">
        <f t="shared" si="0"/>
        <v>288</v>
      </c>
      <c r="H16" s="18">
        <f>93+97</f>
        <v>190</v>
      </c>
      <c r="I16" s="18">
        <f>41+57</f>
        <v>98</v>
      </c>
      <c r="J16" s="18">
        <v>8</v>
      </c>
    </row>
    <row r="17" spans="1:10" x14ac:dyDescent="0.3">
      <c r="A17" s="2" t="s">
        <v>112</v>
      </c>
      <c r="B17" s="3" t="s">
        <v>233</v>
      </c>
      <c r="C17" s="3" t="s">
        <v>222</v>
      </c>
      <c r="D17" s="4">
        <v>27195</v>
      </c>
      <c r="E17" s="5">
        <v>41668</v>
      </c>
      <c r="F17" s="5" t="s">
        <v>43</v>
      </c>
      <c r="G17" s="6">
        <f t="shared" si="0"/>
        <v>264</v>
      </c>
      <c r="H17" s="7">
        <f>86+81</f>
        <v>167</v>
      </c>
      <c r="I17" s="7">
        <f>47+50</f>
        <v>97</v>
      </c>
      <c r="J17" s="7">
        <v>6</v>
      </c>
    </row>
    <row r="18" spans="1:10" x14ac:dyDescent="0.3">
      <c r="A18" s="2" t="s">
        <v>113</v>
      </c>
      <c r="B18" s="3" t="s">
        <v>234</v>
      </c>
      <c r="C18" s="3" t="s">
        <v>222</v>
      </c>
      <c r="D18" s="4">
        <v>27190</v>
      </c>
      <c r="E18" s="5">
        <v>41718</v>
      </c>
      <c r="F18" s="5" t="s">
        <v>43</v>
      </c>
      <c r="G18" s="6">
        <f t="shared" si="0"/>
        <v>260</v>
      </c>
      <c r="H18" s="7">
        <f>85+77</f>
        <v>162</v>
      </c>
      <c r="I18" s="7">
        <f>47+51</f>
        <v>98</v>
      </c>
      <c r="J18" s="7">
        <v>1</v>
      </c>
    </row>
    <row r="19" spans="1:10" x14ac:dyDescent="0.3">
      <c r="A19" s="13" t="s">
        <v>114</v>
      </c>
      <c r="B19" s="3" t="s">
        <v>235</v>
      </c>
      <c r="C19" s="3" t="s">
        <v>236</v>
      </c>
      <c r="D19" s="4">
        <v>27488</v>
      </c>
      <c r="E19" s="5">
        <v>41464</v>
      </c>
      <c r="F19" s="5" t="s">
        <v>43</v>
      </c>
      <c r="G19" s="6">
        <f t="shared" si="0"/>
        <v>249</v>
      </c>
      <c r="H19" s="7">
        <f>74+86</f>
        <v>160</v>
      </c>
      <c r="I19" s="7">
        <f>46+43</f>
        <v>89</v>
      </c>
      <c r="J19" s="7">
        <v>8</v>
      </c>
    </row>
    <row r="20" spans="1:10" x14ac:dyDescent="0.3">
      <c r="A20" s="13" t="s">
        <v>115</v>
      </c>
      <c r="B20" s="3" t="s">
        <v>237</v>
      </c>
      <c r="C20" s="3" t="s">
        <v>222</v>
      </c>
      <c r="D20" s="4">
        <v>27119</v>
      </c>
      <c r="E20" s="5">
        <v>41326</v>
      </c>
      <c r="F20" s="5" t="s">
        <v>43</v>
      </c>
      <c r="G20" s="6">
        <f t="shared" si="0"/>
        <v>249</v>
      </c>
      <c r="H20" s="7">
        <f>84+81</f>
        <v>165</v>
      </c>
      <c r="I20" s="7">
        <f>36+48</f>
        <v>84</v>
      </c>
      <c r="J20" s="7">
        <v>4</v>
      </c>
    </row>
    <row r="21" spans="1:10" x14ac:dyDescent="0.3">
      <c r="A21" s="13" t="s">
        <v>116</v>
      </c>
      <c r="B21" s="3" t="s">
        <v>238</v>
      </c>
      <c r="C21" s="3" t="s">
        <v>222</v>
      </c>
      <c r="D21" s="4">
        <v>27607</v>
      </c>
      <c r="E21" s="5">
        <v>42241</v>
      </c>
      <c r="F21" s="5" t="s">
        <v>43</v>
      </c>
      <c r="G21" s="6">
        <f t="shared" si="0"/>
        <v>247</v>
      </c>
      <c r="H21" s="7">
        <f>77+80</f>
        <v>157</v>
      </c>
      <c r="I21" s="7">
        <f>38+52</f>
        <v>90</v>
      </c>
      <c r="J21" s="7">
        <v>7</v>
      </c>
    </row>
    <row r="22" spans="1:10" x14ac:dyDescent="0.3">
      <c r="A22" s="13" t="s">
        <v>117</v>
      </c>
      <c r="B22" s="3" t="s">
        <v>239</v>
      </c>
      <c r="C22" s="3" t="s">
        <v>240</v>
      </c>
      <c r="D22" s="4">
        <v>27740</v>
      </c>
      <c r="E22" s="5">
        <v>42138</v>
      </c>
      <c r="F22" s="5" t="s">
        <v>43</v>
      </c>
      <c r="G22" s="6">
        <f t="shared" si="0"/>
        <v>241</v>
      </c>
      <c r="H22" s="7">
        <f>82+83</f>
        <v>165</v>
      </c>
      <c r="I22" s="7">
        <f>36+40</f>
        <v>76</v>
      </c>
      <c r="J22" s="7">
        <v>7</v>
      </c>
    </row>
    <row r="23" spans="1:10" x14ac:dyDescent="0.3">
      <c r="A23" s="13" t="s">
        <v>118</v>
      </c>
      <c r="B23" s="3" t="s">
        <v>241</v>
      </c>
      <c r="C23" s="3" t="s">
        <v>242</v>
      </c>
      <c r="D23" s="4">
        <v>28002</v>
      </c>
      <c r="E23" s="5">
        <v>42268</v>
      </c>
      <c r="F23" s="5" t="s">
        <v>43</v>
      </c>
      <c r="G23" s="6">
        <f t="shared" si="0"/>
        <v>234</v>
      </c>
      <c r="H23" s="7">
        <f>74+85</f>
        <v>159</v>
      </c>
      <c r="I23" s="7">
        <f>41+34</f>
        <v>75</v>
      </c>
      <c r="J23" s="7">
        <v>8</v>
      </c>
    </row>
    <row r="24" spans="1:10" x14ac:dyDescent="0.3">
      <c r="A24" s="13" t="s">
        <v>119</v>
      </c>
      <c r="B24" s="3" t="s">
        <v>243</v>
      </c>
      <c r="C24" s="3" t="s">
        <v>224</v>
      </c>
      <c r="D24" s="4">
        <v>27911</v>
      </c>
      <c r="E24" s="5">
        <v>41432</v>
      </c>
      <c r="F24" s="5" t="s">
        <v>43</v>
      </c>
      <c r="G24" s="6">
        <f t="shared" si="0"/>
        <v>232</v>
      </c>
      <c r="H24" s="7">
        <f>76+64</f>
        <v>140</v>
      </c>
      <c r="I24" s="7">
        <f>54+38</f>
        <v>92</v>
      </c>
      <c r="J24" s="7">
        <v>7</v>
      </c>
    </row>
    <row r="25" spans="1:10" x14ac:dyDescent="0.3">
      <c r="A25" s="13" t="s">
        <v>120</v>
      </c>
      <c r="B25" s="3" t="s">
        <v>244</v>
      </c>
      <c r="C25" s="3" t="s">
        <v>245</v>
      </c>
      <c r="D25" s="4">
        <v>27071</v>
      </c>
      <c r="E25" s="5">
        <v>41408</v>
      </c>
      <c r="F25" s="5" t="s">
        <v>43</v>
      </c>
      <c r="G25" s="6">
        <f t="shared" si="0"/>
        <v>224</v>
      </c>
      <c r="H25" s="7">
        <f>66+62</f>
        <v>128</v>
      </c>
      <c r="I25" s="7">
        <f>48+48</f>
        <v>96</v>
      </c>
      <c r="J25" s="7">
        <v>7</v>
      </c>
    </row>
    <row r="26" spans="1:10" x14ac:dyDescent="0.3">
      <c r="A26" s="13" t="s">
        <v>121</v>
      </c>
      <c r="B26" s="3" t="s">
        <v>246</v>
      </c>
      <c r="C26" s="3" t="s">
        <v>247</v>
      </c>
      <c r="D26" s="4">
        <v>27902</v>
      </c>
      <c r="E26" s="5">
        <v>41151</v>
      </c>
      <c r="F26" s="5" t="s">
        <v>43</v>
      </c>
      <c r="G26" s="6">
        <f t="shared" si="0"/>
        <v>217</v>
      </c>
      <c r="H26" s="7">
        <f>63+66</f>
        <v>129</v>
      </c>
      <c r="I26" s="7">
        <f>43+45</f>
        <v>88</v>
      </c>
      <c r="J26" s="7">
        <v>4</v>
      </c>
    </row>
    <row r="27" spans="1:10" x14ac:dyDescent="0.3">
      <c r="A27" s="13" t="s">
        <v>122</v>
      </c>
      <c r="B27" s="3" t="s">
        <v>248</v>
      </c>
      <c r="C27" s="3" t="s">
        <v>236</v>
      </c>
      <c r="D27" s="4">
        <v>28329</v>
      </c>
      <c r="E27" s="5">
        <v>41856</v>
      </c>
      <c r="F27" s="5" t="s">
        <v>43</v>
      </c>
      <c r="G27" s="6">
        <f t="shared" si="0"/>
        <v>214</v>
      </c>
      <c r="H27" s="7">
        <f>48+69</f>
        <v>117</v>
      </c>
      <c r="I27" s="7">
        <f>60+37</f>
        <v>97</v>
      </c>
      <c r="J27" s="7">
        <v>5</v>
      </c>
    </row>
    <row r="28" spans="1:10" x14ac:dyDescent="0.3">
      <c r="A28" s="13" t="s">
        <v>123</v>
      </c>
      <c r="B28" s="3" t="s">
        <v>249</v>
      </c>
      <c r="C28" s="3" t="s">
        <v>240</v>
      </c>
      <c r="D28" s="4">
        <v>28029</v>
      </c>
      <c r="E28" s="5">
        <v>42245</v>
      </c>
      <c r="F28" s="5" t="s">
        <v>43</v>
      </c>
      <c r="G28" s="6">
        <f t="shared" si="0"/>
        <v>212</v>
      </c>
      <c r="H28" s="7">
        <f>69+67</f>
        <v>136</v>
      </c>
      <c r="I28" s="7">
        <f>39+37</f>
        <v>76</v>
      </c>
      <c r="J28" s="7">
        <v>10</v>
      </c>
    </row>
    <row r="29" spans="1:10" x14ac:dyDescent="0.3">
      <c r="A29" s="13" t="s">
        <v>124</v>
      </c>
      <c r="B29" s="3" t="s">
        <v>250</v>
      </c>
      <c r="C29" s="3" t="s">
        <v>222</v>
      </c>
      <c r="D29" s="4">
        <v>28367</v>
      </c>
      <c r="E29" s="5">
        <v>41838</v>
      </c>
      <c r="F29" s="8" t="s">
        <v>43</v>
      </c>
      <c r="G29" s="6">
        <f t="shared" si="0"/>
        <v>202</v>
      </c>
      <c r="H29" s="7">
        <f>60+75</f>
        <v>135</v>
      </c>
      <c r="I29" s="7">
        <f>32+35</f>
        <v>67</v>
      </c>
      <c r="J29" s="7">
        <v>6</v>
      </c>
    </row>
    <row r="30" spans="1:10" x14ac:dyDescent="0.3">
      <c r="A30" s="13" t="s">
        <v>125</v>
      </c>
      <c r="B30" s="3" t="s">
        <v>251</v>
      </c>
      <c r="C30" s="3" t="s">
        <v>240</v>
      </c>
      <c r="D30" s="4">
        <v>27742</v>
      </c>
      <c r="E30" s="5">
        <v>41658</v>
      </c>
      <c r="F30" s="5" t="s">
        <v>43</v>
      </c>
      <c r="G30" s="6">
        <f t="shared" si="0"/>
        <v>200</v>
      </c>
      <c r="H30" s="7">
        <f>63+66</f>
        <v>129</v>
      </c>
      <c r="I30" s="7">
        <f>31+40</f>
        <v>71</v>
      </c>
      <c r="J30" s="7">
        <v>14</v>
      </c>
    </row>
    <row r="31" spans="1:10" x14ac:dyDescent="0.3">
      <c r="A31" s="13" t="s">
        <v>126</v>
      </c>
      <c r="B31" s="3" t="s">
        <v>252</v>
      </c>
      <c r="C31" s="3" t="s">
        <v>242</v>
      </c>
      <c r="D31" s="4">
        <v>28001</v>
      </c>
      <c r="E31" s="5">
        <v>41433</v>
      </c>
      <c r="F31" s="5" t="s">
        <v>43</v>
      </c>
      <c r="G31" s="6">
        <f t="shared" si="0"/>
        <v>200</v>
      </c>
      <c r="H31" s="7">
        <f>61+71</f>
        <v>132</v>
      </c>
      <c r="I31" s="7">
        <f>32+36</f>
        <v>68</v>
      </c>
      <c r="J31" s="7">
        <v>7</v>
      </c>
    </row>
    <row r="32" spans="1:10" x14ac:dyDescent="0.3">
      <c r="A32" s="13" t="s">
        <v>127</v>
      </c>
      <c r="B32" s="3" t="s">
        <v>253</v>
      </c>
      <c r="C32" s="3" t="s">
        <v>240</v>
      </c>
      <c r="D32" s="4">
        <v>28324</v>
      </c>
      <c r="E32" s="5">
        <v>41884</v>
      </c>
      <c r="F32" s="5" t="s">
        <v>43</v>
      </c>
      <c r="G32" s="6">
        <f t="shared" si="0"/>
        <v>189</v>
      </c>
      <c r="H32" s="7">
        <f>59+55</f>
        <v>114</v>
      </c>
      <c r="I32" s="7">
        <f>39+36</f>
        <v>75</v>
      </c>
      <c r="J32" s="7">
        <v>11</v>
      </c>
    </row>
    <row r="33" spans="1:10" x14ac:dyDescent="0.3">
      <c r="A33" s="13" t="s">
        <v>128</v>
      </c>
      <c r="B33" s="3" t="s">
        <v>254</v>
      </c>
      <c r="C33" s="3" t="s">
        <v>240</v>
      </c>
      <c r="D33" s="4">
        <v>27980</v>
      </c>
      <c r="E33" s="5">
        <v>41709</v>
      </c>
      <c r="F33" s="5" t="s">
        <v>43</v>
      </c>
      <c r="G33" s="6">
        <f t="shared" si="0"/>
        <v>188</v>
      </c>
      <c r="H33" s="7">
        <f>64+63</f>
        <v>127</v>
      </c>
      <c r="I33" s="7">
        <v>61</v>
      </c>
      <c r="J33" s="7">
        <v>14</v>
      </c>
    </row>
    <row r="34" spans="1:10" x14ac:dyDescent="0.3">
      <c r="A34" s="13" t="s">
        <v>131</v>
      </c>
      <c r="B34" s="3" t="s">
        <v>255</v>
      </c>
      <c r="C34" s="3" t="s">
        <v>240</v>
      </c>
      <c r="D34" s="4">
        <v>28325</v>
      </c>
      <c r="E34" s="5">
        <v>41873</v>
      </c>
      <c r="F34" s="5" t="s">
        <v>43</v>
      </c>
      <c r="G34" s="6">
        <f t="shared" si="0"/>
        <v>182</v>
      </c>
      <c r="H34" s="7">
        <f>50+56</f>
        <v>106</v>
      </c>
      <c r="I34" s="7">
        <f>37+39</f>
        <v>76</v>
      </c>
      <c r="J34" s="7">
        <v>17</v>
      </c>
    </row>
    <row r="35" spans="1:10" x14ac:dyDescent="0.3">
      <c r="A35" s="13" t="s">
        <v>132</v>
      </c>
      <c r="B35" s="3" t="s">
        <v>256</v>
      </c>
      <c r="C35" s="3" t="s">
        <v>222</v>
      </c>
      <c r="D35" s="4">
        <v>28366</v>
      </c>
      <c r="E35" s="5">
        <v>41830</v>
      </c>
      <c r="F35" s="5" t="s">
        <v>43</v>
      </c>
      <c r="G35" s="6">
        <f t="shared" si="0"/>
        <v>176</v>
      </c>
      <c r="H35" s="7">
        <f>64+46</f>
        <v>110</v>
      </c>
      <c r="I35" s="7">
        <f>33+33</f>
        <v>66</v>
      </c>
      <c r="J35" s="7">
        <v>19</v>
      </c>
    </row>
    <row r="36" spans="1:10" x14ac:dyDescent="0.3">
      <c r="A36" s="13" t="s">
        <v>134</v>
      </c>
      <c r="B36" s="3" t="s">
        <v>257</v>
      </c>
      <c r="C36" s="3" t="s">
        <v>240</v>
      </c>
      <c r="D36" s="4">
        <v>27975</v>
      </c>
      <c r="E36" s="5">
        <v>41984</v>
      </c>
      <c r="F36" s="5" t="s">
        <v>43</v>
      </c>
      <c r="G36" s="6">
        <f t="shared" si="0"/>
        <v>169</v>
      </c>
      <c r="H36" s="7">
        <f>48+57</f>
        <v>105</v>
      </c>
      <c r="I36" s="7">
        <f>26+38</f>
        <v>64</v>
      </c>
      <c r="J36" s="7">
        <v>14</v>
      </c>
    </row>
    <row r="37" spans="1:10" x14ac:dyDescent="0.3">
      <c r="A37" s="13" t="s">
        <v>135</v>
      </c>
      <c r="B37" s="3" t="s">
        <v>258</v>
      </c>
      <c r="C37" s="3" t="s">
        <v>240</v>
      </c>
      <c r="D37" s="4">
        <v>28384</v>
      </c>
      <c r="E37" s="5">
        <v>42190</v>
      </c>
      <c r="F37" s="5" t="s">
        <v>43</v>
      </c>
      <c r="G37" s="6">
        <f t="shared" si="0"/>
        <v>166</v>
      </c>
      <c r="H37" s="7">
        <f>49+46</f>
        <v>95</v>
      </c>
      <c r="I37" s="7">
        <f>26+45</f>
        <v>71</v>
      </c>
      <c r="J37" s="7">
        <v>18</v>
      </c>
    </row>
    <row r="38" spans="1:10" ht="15" thickBot="1" x14ac:dyDescent="0.35">
      <c r="A38" s="20" t="s">
        <v>318</v>
      </c>
      <c r="B38" s="21" t="s">
        <v>259</v>
      </c>
      <c r="C38" s="21" t="s">
        <v>240</v>
      </c>
      <c r="D38" s="22">
        <v>28092</v>
      </c>
      <c r="E38" s="23">
        <v>42152</v>
      </c>
      <c r="F38" s="23" t="s">
        <v>43</v>
      </c>
      <c r="G38" s="24">
        <f t="shared" si="0"/>
        <v>149</v>
      </c>
      <c r="H38" s="25">
        <f>49+35</f>
        <v>84</v>
      </c>
      <c r="I38" s="25">
        <f>29+36</f>
        <v>65</v>
      </c>
      <c r="J38" s="25">
        <v>21</v>
      </c>
    </row>
    <row r="39" spans="1:10" ht="21.6" customHeight="1" thickBot="1" x14ac:dyDescent="0.35">
      <c r="A39" s="43" t="s">
        <v>130</v>
      </c>
      <c r="B39" s="44"/>
      <c r="C39" s="44"/>
      <c r="D39" s="44"/>
      <c r="E39" s="44"/>
      <c r="F39" s="44"/>
      <c r="G39" s="44"/>
      <c r="H39" s="44"/>
      <c r="I39" s="44"/>
      <c r="J39" s="45"/>
    </row>
    <row r="40" spans="1:10" x14ac:dyDescent="0.3">
      <c r="A40" s="14" t="s">
        <v>111</v>
      </c>
      <c r="B40" s="32" t="s">
        <v>260</v>
      </c>
      <c r="C40" s="32" t="s">
        <v>222</v>
      </c>
      <c r="D40" s="33">
        <v>27116</v>
      </c>
      <c r="E40" s="17">
        <v>40609</v>
      </c>
      <c r="F40" s="34" t="s">
        <v>60</v>
      </c>
      <c r="G40" s="6">
        <f t="shared" si="0"/>
        <v>286</v>
      </c>
      <c r="H40" s="18">
        <f>75+88</f>
        <v>163</v>
      </c>
      <c r="I40" s="18">
        <f>54+69</f>
        <v>123</v>
      </c>
      <c r="J40" s="18">
        <v>4</v>
      </c>
    </row>
    <row r="41" spans="1:10" x14ac:dyDescent="0.3">
      <c r="A41" s="2" t="s">
        <v>112</v>
      </c>
      <c r="B41" s="3" t="s">
        <v>261</v>
      </c>
      <c r="C41" s="3" t="s">
        <v>228</v>
      </c>
      <c r="D41" s="4">
        <v>26853</v>
      </c>
      <c r="E41" s="5">
        <v>40843</v>
      </c>
      <c r="F41" s="5" t="s">
        <v>60</v>
      </c>
      <c r="G41" s="6">
        <f t="shared" si="0"/>
        <v>272</v>
      </c>
      <c r="H41" s="7">
        <f>91+84</f>
        <v>175</v>
      </c>
      <c r="I41" s="7">
        <f>52+45</f>
        <v>97</v>
      </c>
      <c r="J41" s="7">
        <v>5</v>
      </c>
    </row>
    <row r="42" spans="1:10" x14ac:dyDescent="0.3">
      <c r="A42" s="2" t="s">
        <v>113</v>
      </c>
      <c r="B42" s="3" t="s">
        <v>262</v>
      </c>
      <c r="C42" s="3" t="s">
        <v>245</v>
      </c>
      <c r="D42" s="4">
        <v>27074</v>
      </c>
      <c r="E42" s="5">
        <v>40507</v>
      </c>
      <c r="F42" s="5" t="s">
        <v>60</v>
      </c>
      <c r="G42" s="6">
        <f t="shared" si="0"/>
        <v>272</v>
      </c>
      <c r="H42" s="7">
        <f>94+85</f>
        <v>179</v>
      </c>
      <c r="I42" s="7">
        <f>60+33</f>
        <v>93</v>
      </c>
      <c r="J42" s="7">
        <v>3</v>
      </c>
    </row>
    <row r="43" spans="1:10" x14ac:dyDescent="0.3">
      <c r="A43" s="13" t="s">
        <v>114</v>
      </c>
      <c r="B43" s="3" t="s">
        <v>263</v>
      </c>
      <c r="C43" s="9" t="s">
        <v>222</v>
      </c>
      <c r="D43" s="4">
        <v>27196</v>
      </c>
      <c r="E43" s="5">
        <v>40979</v>
      </c>
      <c r="F43" s="5" t="s">
        <v>60</v>
      </c>
      <c r="G43" s="6">
        <f t="shared" si="0"/>
        <v>270</v>
      </c>
      <c r="H43" s="7">
        <f>87+100</f>
        <v>187</v>
      </c>
      <c r="I43" s="7">
        <f>49+34</f>
        <v>83</v>
      </c>
      <c r="J43" s="7">
        <v>4</v>
      </c>
    </row>
    <row r="44" spans="1:10" x14ac:dyDescent="0.3">
      <c r="A44" s="13" t="s">
        <v>115</v>
      </c>
      <c r="B44" s="3" t="s">
        <v>264</v>
      </c>
      <c r="C44" s="3" t="s">
        <v>228</v>
      </c>
      <c r="D44" s="4">
        <v>26764</v>
      </c>
      <c r="E44" s="5">
        <v>40563</v>
      </c>
      <c r="F44" s="5" t="s">
        <v>60</v>
      </c>
      <c r="G44" s="6">
        <f t="shared" si="0"/>
        <v>269</v>
      </c>
      <c r="H44" s="7">
        <f>85+94</f>
        <v>179</v>
      </c>
      <c r="I44" s="7">
        <f>54+36</f>
        <v>90</v>
      </c>
      <c r="J44" s="7">
        <v>6</v>
      </c>
    </row>
    <row r="45" spans="1:10" x14ac:dyDescent="0.3">
      <c r="A45" s="13" t="s">
        <v>116</v>
      </c>
      <c r="B45" s="3" t="s">
        <v>265</v>
      </c>
      <c r="C45" s="3" t="s">
        <v>222</v>
      </c>
      <c r="D45" s="4">
        <v>27122</v>
      </c>
      <c r="E45" s="5">
        <v>40886</v>
      </c>
      <c r="F45" s="5" t="s">
        <v>60</v>
      </c>
      <c r="G45" s="6">
        <f t="shared" si="0"/>
        <v>266</v>
      </c>
      <c r="H45" s="7">
        <f>85+85</f>
        <v>170</v>
      </c>
      <c r="I45" s="7">
        <f>61+35</f>
        <v>96</v>
      </c>
      <c r="J45" s="7">
        <v>6</v>
      </c>
    </row>
    <row r="46" spans="1:10" x14ac:dyDescent="0.3">
      <c r="A46" s="13" t="s">
        <v>117</v>
      </c>
      <c r="B46" s="3" t="s">
        <v>266</v>
      </c>
      <c r="C46" s="3" t="s">
        <v>236</v>
      </c>
      <c r="D46" s="4">
        <v>26852</v>
      </c>
      <c r="E46" s="5">
        <v>40736</v>
      </c>
      <c r="F46" s="5" t="s">
        <v>60</v>
      </c>
      <c r="G46" s="6">
        <f t="shared" si="0"/>
        <v>254</v>
      </c>
      <c r="H46" s="7">
        <f>90+84</f>
        <v>174</v>
      </c>
      <c r="I46" s="7">
        <f>44+36</f>
        <v>80</v>
      </c>
      <c r="J46" s="7">
        <v>3</v>
      </c>
    </row>
    <row r="47" spans="1:10" x14ac:dyDescent="0.3">
      <c r="A47" s="13" t="s">
        <v>118</v>
      </c>
      <c r="B47" s="3" t="s">
        <v>267</v>
      </c>
      <c r="C47" s="3" t="s">
        <v>236</v>
      </c>
      <c r="D47" s="4">
        <v>27265</v>
      </c>
      <c r="E47" s="5">
        <v>40548</v>
      </c>
      <c r="F47" s="5" t="s">
        <v>60</v>
      </c>
      <c r="G47" s="6">
        <f t="shared" si="0"/>
        <v>254</v>
      </c>
      <c r="H47" s="7">
        <f>89+103</f>
        <v>192</v>
      </c>
      <c r="I47" s="7">
        <f>36+26</f>
        <v>62</v>
      </c>
      <c r="J47" s="7">
        <v>6</v>
      </c>
    </row>
    <row r="48" spans="1:10" x14ac:dyDescent="0.3">
      <c r="A48" s="13" t="s">
        <v>119</v>
      </c>
      <c r="B48" s="3" t="s">
        <v>268</v>
      </c>
      <c r="C48" s="3" t="s">
        <v>228</v>
      </c>
      <c r="D48" s="4">
        <v>27339</v>
      </c>
      <c r="E48" s="5">
        <v>40666</v>
      </c>
      <c r="F48" s="5" t="s">
        <v>60</v>
      </c>
      <c r="G48" s="6">
        <f t="shared" si="0"/>
        <v>251</v>
      </c>
      <c r="H48" s="7">
        <f>88+87</f>
        <v>175</v>
      </c>
      <c r="I48" s="7">
        <f>43+33</f>
        <v>76</v>
      </c>
      <c r="J48" s="7">
        <v>6</v>
      </c>
    </row>
    <row r="49" spans="1:10" x14ac:dyDescent="0.3">
      <c r="A49" s="13" t="s">
        <v>120</v>
      </c>
      <c r="B49" s="3" t="s">
        <v>269</v>
      </c>
      <c r="C49" s="3" t="s">
        <v>247</v>
      </c>
      <c r="D49" s="4">
        <v>26749</v>
      </c>
      <c r="E49" s="5">
        <v>40753</v>
      </c>
      <c r="F49" s="5" t="s">
        <v>60</v>
      </c>
      <c r="G49" s="6">
        <f t="shared" si="0"/>
        <v>250</v>
      </c>
      <c r="H49" s="7">
        <f>84+86</f>
        <v>170</v>
      </c>
      <c r="I49" s="7">
        <f>45+35</f>
        <v>80</v>
      </c>
      <c r="J49" s="7">
        <v>5</v>
      </c>
    </row>
    <row r="50" spans="1:10" x14ac:dyDescent="0.3">
      <c r="A50" s="13" t="s">
        <v>121</v>
      </c>
      <c r="B50" s="3" t="s">
        <v>270</v>
      </c>
      <c r="C50" s="3" t="s">
        <v>271</v>
      </c>
      <c r="D50" s="4">
        <v>28187</v>
      </c>
      <c r="E50" s="5">
        <v>40557</v>
      </c>
      <c r="F50" s="5" t="s">
        <v>60</v>
      </c>
      <c r="G50" s="6">
        <f t="shared" si="0"/>
        <v>249</v>
      </c>
      <c r="H50" s="7">
        <f>85+84</f>
        <v>169</v>
      </c>
      <c r="I50" s="7">
        <f>35+45</f>
        <v>80</v>
      </c>
      <c r="J50" s="7">
        <v>8</v>
      </c>
    </row>
    <row r="51" spans="1:10" x14ac:dyDescent="0.3">
      <c r="A51" s="13" t="s">
        <v>122</v>
      </c>
      <c r="B51" s="3" t="s">
        <v>272</v>
      </c>
      <c r="C51" s="3" t="s">
        <v>273</v>
      </c>
      <c r="D51" s="4">
        <v>27112</v>
      </c>
      <c r="E51" s="5">
        <v>40508</v>
      </c>
      <c r="F51" s="5" t="s">
        <v>60</v>
      </c>
      <c r="G51" s="6">
        <f t="shared" si="0"/>
        <v>248</v>
      </c>
      <c r="H51" s="7">
        <f>85+85</f>
        <v>170</v>
      </c>
      <c r="I51" s="7">
        <f>43+35</f>
        <v>78</v>
      </c>
      <c r="J51" s="7">
        <v>2</v>
      </c>
    </row>
    <row r="52" spans="1:10" x14ac:dyDescent="0.3">
      <c r="A52" s="13" t="s">
        <v>123</v>
      </c>
      <c r="B52" s="3" t="s">
        <v>274</v>
      </c>
      <c r="C52" s="3" t="s">
        <v>228</v>
      </c>
      <c r="D52" s="4">
        <v>27967</v>
      </c>
      <c r="E52" s="5">
        <v>40504</v>
      </c>
      <c r="F52" s="5" t="s">
        <v>60</v>
      </c>
      <c r="G52" s="6">
        <f t="shared" si="0"/>
        <v>247</v>
      </c>
      <c r="H52" s="7">
        <f>92+76</f>
        <v>168</v>
      </c>
      <c r="I52" s="7">
        <f>53+26</f>
        <v>79</v>
      </c>
      <c r="J52" s="7">
        <v>6</v>
      </c>
    </row>
    <row r="53" spans="1:10" x14ac:dyDescent="0.3">
      <c r="A53" s="13" t="s">
        <v>124</v>
      </c>
      <c r="B53" s="3" t="s">
        <v>275</v>
      </c>
      <c r="C53" s="3" t="s">
        <v>222</v>
      </c>
      <c r="D53" s="4">
        <v>27966</v>
      </c>
      <c r="E53" s="5">
        <v>40848</v>
      </c>
      <c r="F53" s="5" t="s">
        <v>60</v>
      </c>
      <c r="G53" s="6">
        <f t="shared" si="0"/>
        <v>246</v>
      </c>
      <c r="H53" s="7">
        <f>92+81</f>
        <v>173</v>
      </c>
      <c r="I53" s="7">
        <f>32+41</f>
        <v>73</v>
      </c>
      <c r="J53" s="7">
        <v>4</v>
      </c>
    </row>
    <row r="54" spans="1:10" x14ac:dyDescent="0.3">
      <c r="A54" s="13" t="s">
        <v>125</v>
      </c>
      <c r="B54" s="3" t="s">
        <v>276</v>
      </c>
      <c r="C54" s="3" t="s">
        <v>240</v>
      </c>
      <c r="D54" s="4">
        <v>27540</v>
      </c>
      <c r="E54" s="5">
        <v>40861</v>
      </c>
      <c r="F54" s="5" t="s">
        <v>60</v>
      </c>
      <c r="G54" s="6">
        <f t="shared" si="0"/>
        <v>242</v>
      </c>
      <c r="H54" s="7">
        <f>83+70</f>
        <v>153</v>
      </c>
      <c r="I54" s="7">
        <f>36+53</f>
        <v>89</v>
      </c>
      <c r="J54" s="7">
        <v>6</v>
      </c>
    </row>
    <row r="55" spans="1:10" x14ac:dyDescent="0.3">
      <c r="A55" s="13" t="s">
        <v>126</v>
      </c>
      <c r="B55" s="3" t="s">
        <v>304</v>
      </c>
      <c r="C55" s="3" t="s">
        <v>240</v>
      </c>
      <c r="D55" s="4">
        <v>27646</v>
      </c>
      <c r="E55" s="5">
        <v>40722</v>
      </c>
      <c r="F55" s="5" t="s">
        <v>60</v>
      </c>
      <c r="G55" s="6">
        <f t="shared" si="0"/>
        <v>231</v>
      </c>
      <c r="H55" s="7">
        <f>74+89</f>
        <v>163</v>
      </c>
      <c r="I55" s="7">
        <f>26+42</f>
        <v>68</v>
      </c>
      <c r="J55" s="7">
        <v>7</v>
      </c>
    </row>
    <row r="56" spans="1:10" x14ac:dyDescent="0.3">
      <c r="A56" s="13" t="s">
        <v>127</v>
      </c>
      <c r="B56" s="3" t="s">
        <v>277</v>
      </c>
      <c r="C56" s="3" t="s">
        <v>224</v>
      </c>
      <c r="D56" s="4">
        <v>26945</v>
      </c>
      <c r="E56" s="5">
        <v>41001</v>
      </c>
      <c r="F56" s="5" t="s">
        <v>60</v>
      </c>
      <c r="G56" s="6">
        <f t="shared" si="0"/>
        <v>227</v>
      </c>
      <c r="H56" s="7">
        <f>92+76</f>
        <v>168</v>
      </c>
      <c r="I56" s="7">
        <f>25+34</f>
        <v>59</v>
      </c>
      <c r="J56" s="7">
        <v>7</v>
      </c>
    </row>
    <row r="57" spans="1:10" x14ac:dyDescent="0.3">
      <c r="A57" s="13" t="s">
        <v>128</v>
      </c>
      <c r="B57" s="3" t="s">
        <v>278</v>
      </c>
      <c r="C57" s="3" t="s">
        <v>232</v>
      </c>
      <c r="D57" s="4">
        <v>26903</v>
      </c>
      <c r="E57" s="5">
        <v>41074</v>
      </c>
      <c r="F57" s="5" t="s">
        <v>60</v>
      </c>
      <c r="G57" s="6">
        <f t="shared" si="0"/>
        <v>223</v>
      </c>
      <c r="H57" s="7">
        <f>90+72</f>
        <v>162</v>
      </c>
      <c r="I57" s="7">
        <f>35+26</f>
        <v>61</v>
      </c>
      <c r="J57" s="7">
        <v>7</v>
      </c>
    </row>
    <row r="58" spans="1:10" x14ac:dyDescent="0.3">
      <c r="A58" s="13" t="s">
        <v>131</v>
      </c>
      <c r="B58" s="3" t="s">
        <v>279</v>
      </c>
      <c r="C58" s="3" t="s">
        <v>236</v>
      </c>
      <c r="D58" s="4">
        <v>27859</v>
      </c>
      <c r="E58" s="5">
        <v>40868</v>
      </c>
      <c r="F58" s="5" t="s">
        <v>60</v>
      </c>
      <c r="G58" s="6">
        <f t="shared" si="0"/>
        <v>222</v>
      </c>
      <c r="H58" s="7">
        <f>85+79</f>
        <v>164</v>
      </c>
      <c r="I58" s="7">
        <f>27+31</f>
        <v>58</v>
      </c>
      <c r="J58" s="7">
        <v>8</v>
      </c>
    </row>
    <row r="59" spans="1:10" x14ac:dyDescent="0.3">
      <c r="A59" s="13" t="s">
        <v>132</v>
      </c>
      <c r="B59" s="3" t="s">
        <v>280</v>
      </c>
      <c r="C59" s="3" t="s">
        <v>281</v>
      </c>
      <c r="D59" s="4">
        <v>27506</v>
      </c>
      <c r="E59" s="5">
        <v>40379</v>
      </c>
      <c r="F59" s="5" t="s">
        <v>60</v>
      </c>
      <c r="G59" s="6">
        <f t="shared" si="0"/>
        <v>218</v>
      </c>
      <c r="H59" s="7">
        <f>71+78</f>
        <v>149</v>
      </c>
      <c r="I59" s="7">
        <f>44+25</f>
        <v>69</v>
      </c>
      <c r="J59" s="7">
        <v>9</v>
      </c>
    </row>
    <row r="60" spans="1:10" x14ac:dyDescent="0.3">
      <c r="A60" s="13" t="s">
        <v>134</v>
      </c>
      <c r="B60" s="3" t="s">
        <v>282</v>
      </c>
      <c r="C60" s="3" t="s">
        <v>283</v>
      </c>
      <c r="D60" s="4">
        <v>28206</v>
      </c>
      <c r="E60" s="5">
        <v>40850</v>
      </c>
      <c r="F60" s="5" t="s">
        <v>60</v>
      </c>
      <c r="G60" s="6">
        <f t="shared" si="0"/>
        <v>208</v>
      </c>
      <c r="H60" s="7">
        <f>68+73</f>
        <v>141</v>
      </c>
      <c r="I60" s="7">
        <f>32+35</f>
        <v>67</v>
      </c>
      <c r="J60" s="7">
        <v>7</v>
      </c>
    </row>
    <row r="61" spans="1:10" x14ac:dyDescent="0.3">
      <c r="A61" s="13" t="s">
        <v>135</v>
      </c>
      <c r="B61" s="3" t="s">
        <v>284</v>
      </c>
      <c r="C61" s="3" t="s">
        <v>285</v>
      </c>
      <c r="D61" s="4">
        <v>28298</v>
      </c>
      <c r="E61" s="5">
        <v>40971</v>
      </c>
      <c r="F61" s="5" t="s">
        <v>60</v>
      </c>
      <c r="G61" s="6">
        <f t="shared" si="0"/>
        <v>208</v>
      </c>
      <c r="H61" s="7">
        <f>74+85</f>
        <v>159</v>
      </c>
      <c r="I61" s="7">
        <f>23+26</f>
        <v>49</v>
      </c>
      <c r="J61" s="7">
        <v>14</v>
      </c>
    </row>
    <row r="62" spans="1:10" ht="15" thickBot="1" x14ac:dyDescent="0.35">
      <c r="A62" s="20" t="s">
        <v>318</v>
      </c>
      <c r="B62" s="21" t="s">
        <v>286</v>
      </c>
      <c r="C62" s="21" t="s">
        <v>226</v>
      </c>
      <c r="D62" s="22">
        <v>28101</v>
      </c>
      <c r="E62" s="23">
        <v>40392</v>
      </c>
      <c r="F62" s="23" t="s">
        <v>60</v>
      </c>
      <c r="G62" s="24">
        <f t="shared" si="0"/>
        <v>174</v>
      </c>
      <c r="H62" s="25">
        <f>83+60</f>
        <v>143</v>
      </c>
      <c r="I62" s="25">
        <f>23+8</f>
        <v>31</v>
      </c>
      <c r="J62" s="25">
        <v>22</v>
      </c>
    </row>
    <row r="63" spans="1:10" ht="19.8" customHeight="1" thickBot="1" x14ac:dyDescent="0.35">
      <c r="A63" s="43" t="s">
        <v>434</v>
      </c>
      <c r="B63" s="44"/>
      <c r="C63" s="44"/>
      <c r="D63" s="44"/>
      <c r="E63" s="44"/>
      <c r="F63" s="44"/>
      <c r="G63" s="44"/>
      <c r="H63" s="44"/>
      <c r="I63" s="44"/>
      <c r="J63" s="45"/>
    </row>
    <row r="64" spans="1:10" x14ac:dyDescent="0.3">
      <c r="A64" s="14" t="s">
        <v>111</v>
      </c>
      <c r="B64" s="15" t="s">
        <v>287</v>
      </c>
      <c r="C64" s="15" t="s">
        <v>247</v>
      </c>
      <c r="D64" s="16">
        <v>27508</v>
      </c>
      <c r="E64" s="17">
        <v>41168</v>
      </c>
      <c r="F64" s="17" t="s">
        <v>85</v>
      </c>
      <c r="G64" s="6">
        <f t="shared" si="0"/>
        <v>286</v>
      </c>
      <c r="H64" s="18">
        <f>91+94</f>
        <v>185</v>
      </c>
      <c r="I64" s="18">
        <f>42+59</f>
        <v>101</v>
      </c>
      <c r="J64" s="18">
        <v>3</v>
      </c>
    </row>
    <row r="65" spans="1:10" x14ac:dyDescent="0.3">
      <c r="A65" s="2" t="s">
        <v>112</v>
      </c>
      <c r="B65" s="3" t="s">
        <v>288</v>
      </c>
      <c r="C65" s="3" t="s">
        <v>222</v>
      </c>
      <c r="D65" s="4">
        <v>27203</v>
      </c>
      <c r="E65" s="5">
        <v>41723</v>
      </c>
      <c r="F65" s="5" t="s">
        <v>85</v>
      </c>
      <c r="G65" s="6">
        <f t="shared" si="0"/>
        <v>285</v>
      </c>
      <c r="H65" s="7">
        <f>97+90</f>
        <v>187</v>
      </c>
      <c r="I65" s="7">
        <f>58+40</f>
        <v>98</v>
      </c>
      <c r="J65" s="7">
        <v>5</v>
      </c>
    </row>
    <row r="66" spans="1:10" x14ac:dyDescent="0.3">
      <c r="A66" s="2" t="s">
        <v>113</v>
      </c>
      <c r="B66" s="3" t="s">
        <v>289</v>
      </c>
      <c r="C66" s="3" t="s">
        <v>222</v>
      </c>
      <c r="D66" s="4">
        <v>27193</v>
      </c>
      <c r="E66" s="5">
        <v>41640</v>
      </c>
      <c r="F66" s="5" t="s">
        <v>85</v>
      </c>
      <c r="G66" s="6">
        <f t="shared" si="0"/>
        <v>276</v>
      </c>
      <c r="H66" s="7">
        <f>89+85</f>
        <v>174</v>
      </c>
      <c r="I66" s="7">
        <f>58+44</f>
        <v>102</v>
      </c>
      <c r="J66" s="7">
        <v>6</v>
      </c>
    </row>
    <row r="67" spans="1:10" x14ac:dyDescent="0.3">
      <c r="A67" s="13" t="s">
        <v>114</v>
      </c>
      <c r="B67" s="3" t="s">
        <v>290</v>
      </c>
      <c r="C67" s="3" t="s">
        <v>236</v>
      </c>
      <c r="D67" s="4">
        <v>28040</v>
      </c>
      <c r="E67" s="5">
        <v>41593</v>
      </c>
      <c r="F67" s="5" t="s">
        <v>85</v>
      </c>
      <c r="G67" s="6">
        <f t="shared" si="0"/>
        <v>271</v>
      </c>
      <c r="H67" s="7">
        <f>80+92</f>
        <v>172</v>
      </c>
      <c r="I67" s="7">
        <f>49+50</f>
        <v>99</v>
      </c>
      <c r="J67" s="7">
        <v>5</v>
      </c>
    </row>
    <row r="68" spans="1:10" x14ac:dyDescent="0.3">
      <c r="A68" s="13" t="s">
        <v>115</v>
      </c>
      <c r="B68" s="3" t="s">
        <v>291</v>
      </c>
      <c r="C68" s="3" t="s">
        <v>228</v>
      </c>
      <c r="D68" s="4">
        <v>28346</v>
      </c>
      <c r="E68" s="5">
        <v>41195</v>
      </c>
      <c r="F68" s="5" t="s">
        <v>85</v>
      </c>
      <c r="G68" s="6">
        <f t="shared" si="0"/>
        <v>271</v>
      </c>
      <c r="H68" s="7">
        <f>80+94</f>
        <v>174</v>
      </c>
      <c r="I68" s="7">
        <f>38+59</f>
        <v>97</v>
      </c>
      <c r="J68" s="7">
        <v>4</v>
      </c>
    </row>
    <row r="69" spans="1:10" x14ac:dyDescent="0.3">
      <c r="A69" s="13" t="s">
        <v>116</v>
      </c>
      <c r="B69" s="3" t="s">
        <v>292</v>
      </c>
      <c r="C69" s="3" t="s">
        <v>240</v>
      </c>
      <c r="D69" s="4">
        <v>28019</v>
      </c>
      <c r="E69" s="5">
        <v>41094</v>
      </c>
      <c r="F69" s="5" t="s">
        <v>85</v>
      </c>
      <c r="G69" s="6">
        <f t="shared" si="0"/>
        <v>271</v>
      </c>
      <c r="H69" s="7">
        <f>81+97</f>
        <v>178</v>
      </c>
      <c r="I69" s="7">
        <f>51+42</f>
        <v>93</v>
      </c>
      <c r="J69" s="7">
        <v>5</v>
      </c>
    </row>
    <row r="70" spans="1:10" x14ac:dyDescent="0.3">
      <c r="A70" s="13" t="s">
        <v>117</v>
      </c>
      <c r="B70" s="3" t="s">
        <v>293</v>
      </c>
      <c r="C70" s="3" t="s">
        <v>236</v>
      </c>
      <c r="D70" s="4">
        <v>27489</v>
      </c>
      <c r="E70" s="5">
        <v>41602</v>
      </c>
      <c r="F70" s="5" t="s">
        <v>85</v>
      </c>
      <c r="G70" s="6">
        <f t="shared" si="0"/>
        <v>259</v>
      </c>
      <c r="H70" s="7">
        <f>81+81</f>
        <v>162</v>
      </c>
      <c r="I70" s="7">
        <f>53+44</f>
        <v>97</v>
      </c>
      <c r="J70" s="7">
        <v>3</v>
      </c>
    </row>
    <row r="71" spans="1:10" x14ac:dyDescent="0.3">
      <c r="A71" s="13" t="s">
        <v>118</v>
      </c>
      <c r="B71" s="3" t="s">
        <v>294</v>
      </c>
      <c r="C71" s="3" t="s">
        <v>281</v>
      </c>
      <c r="D71" s="4">
        <v>27421</v>
      </c>
      <c r="E71" s="5">
        <v>41508</v>
      </c>
      <c r="F71" s="5" t="s">
        <v>85</v>
      </c>
      <c r="G71" s="6">
        <f t="shared" si="0"/>
        <v>255</v>
      </c>
      <c r="H71" s="7">
        <f>67+88</f>
        <v>155</v>
      </c>
      <c r="I71" s="7">
        <f>48+52</f>
        <v>100</v>
      </c>
      <c r="J71" s="7">
        <v>4</v>
      </c>
    </row>
    <row r="72" spans="1:10" x14ac:dyDescent="0.3">
      <c r="A72" s="13" t="s">
        <v>119</v>
      </c>
      <c r="B72" s="3" t="s">
        <v>295</v>
      </c>
      <c r="C72" s="3" t="s">
        <v>222</v>
      </c>
      <c r="D72" s="4">
        <v>28372</v>
      </c>
      <c r="E72" s="5">
        <v>42389</v>
      </c>
      <c r="F72" s="8" t="s">
        <v>85</v>
      </c>
      <c r="G72" s="6">
        <f t="shared" si="0"/>
        <v>250</v>
      </c>
      <c r="H72" s="7">
        <f>84+68</f>
        <v>152</v>
      </c>
      <c r="I72" s="7">
        <f>49+49</f>
        <v>98</v>
      </c>
      <c r="J72" s="7">
        <v>5</v>
      </c>
    </row>
    <row r="73" spans="1:10" x14ac:dyDescent="0.3">
      <c r="A73" s="13" t="s">
        <v>120</v>
      </c>
      <c r="B73" s="3" t="s">
        <v>296</v>
      </c>
      <c r="C73" s="3" t="s">
        <v>222</v>
      </c>
      <c r="D73" s="4">
        <v>27123</v>
      </c>
      <c r="E73" s="5">
        <v>41458</v>
      </c>
      <c r="F73" s="5" t="s">
        <v>85</v>
      </c>
      <c r="G73" s="6">
        <f t="shared" si="0"/>
        <v>249</v>
      </c>
      <c r="H73" s="7">
        <f>88+77</f>
        <v>165</v>
      </c>
      <c r="I73" s="7">
        <f>44+40</f>
        <v>84</v>
      </c>
      <c r="J73" s="7">
        <v>6</v>
      </c>
    </row>
    <row r="74" spans="1:10" x14ac:dyDescent="0.3">
      <c r="A74" s="13" t="s">
        <v>121</v>
      </c>
      <c r="B74" s="3" t="s">
        <v>297</v>
      </c>
      <c r="C74" s="3" t="s">
        <v>240</v>
      </c>
      <c r="D74" s="4">
        <v>27647</v>
      </c>
      <c r="E74" s="5">
        <v>41249</v>
      </c>
      <c r="F74" s="5" t="s">
        <v>85</v>
      </c>
      <c r="G74" s="6">
        <f t="shared" si="0"/>
        <v>246</v>
      </c>
      <c r="H74" s="7">
        <f>75+77</f>
        <v>152</v>
      </c>
      <c r="I74" s="7">
        <f>42+52</f>
        <v>94</v>
      </c>
      <c r="J74" s="7">
        <v>4</v>
      </c>
    </row>
    <row r="75" spans="1:10" x14ac:dyDescent="0.3">
      <c r="A75" s="13" t="s">
        <v>122</v>
      </c>
      <c r="B75" s="3" t="s">
        <v>298</v>
      </c>
      <c r="C75" s="3" t="s">
        <v>224</v>
      </c>
      <c r="D75" s="4">
        <v>27881</v>
      </c>
      <c r="E75" s="5">
        <v>41491</v>
      </c>
      <c r="F75" s="5" t="s">
        <v>85</v>
      </c>
      <c r="G75" s="6">
        <f t="shared" si="0"/>
        <v>245</v>
      </c>
      <c r="H75" s="7">
        <f>84+76</f>
        <v>160</v>
      </c>
      <c r="I75" s="7">
        <f>40+45</f>
        <v>85</v>
      </c>
      <c r="J75" s="7">
        <v>6</v>
      </c>
    </row>
    <row r="76" spans="1:10" x14ac:dyDescent="0.3">
      <c r="A76" s="13" t="s">
        <v>123</v>
      </c>
      <c r="B76" s="3" t="s">
        <v>299</v>
      </c>
      <c r="C76" s="3" t="s">
        <v>281</v>
      </c>
      <c r="D76" s="4">
        <v>27422</v>
      </c>
      <c r="E76" s="5">
        <v>41561</v>
      </c>
      <c r="F76" s="5" t="s">
        <v>85</v>
      </c>
      <c r="G76" s="6">
        <f t="shared" ref="G76:G92" si="1">IF(OR(ISBLANK($H76))," ",H76+I76)</f>
        <v>245</v>
      </c>
      <c r="H76" s="7">
        <f>78+84</f>
        <v>162</v>
      </c>
      <c r="I76" s="7">
        <f>42+41</f>
        <v>83</v>
      </c>
      <c r="J76" s="7">
        <v>7</v>
      </c>
    </row>
    <row r="77" spans="1:10" x14ac:dyDescent="0.3">
      <c r="A77" s="13" t="s">
        <v>124</v>
      </c>
      <c r="B77" s="3" t="s">
        <v>300</v>
      </c>
      <c r="C77" s="3" t="s">
        <v>236</v>
      </c>
      <c r="D77" s="4">
        <v>27236</v>
      </c>
      <c r="E77" s="5">
        <v>41318</v>
      </c>
      <c r="F77" s="5" t="s">
        <v>85</v>
      </c>
      <c r="G77" s="6">
        <f t="shared" si="1"/>
        <v>243</v>
      </c>
      <c r="H77" s="7">
        <f>81+85</f>
        <v>166</v>
      </c>
      <c r="I77" s="7">
        <f>37+40</f>
        <v>77</v>
      </c>
      <c r="J77" s="7">
        <v>5</v>
      </c>
    </row>
    <row r="78" spans="1:10" x14ac:dyDescent="0.3">
      <c r="A78" s="13" t="s">
        <v>125</v>
      </c>
      <c r="B78" s="3" t="s">
        <v>301</v>
      </c>
      <c r="C78" s="3" t="s">
        <v>240</v>
      </c>
      <c r="D78" s="4">
        <v>27741</v>
      </c>
      <c r="E78" s="5">
        <v>41683</v>
      </c>
      <c r="F78" s="5" t="s">
        <v>85</v>
      </c>
      <c r="G78" s="6">
        <f t="shared" si="1"/>
        <v>242</v>
      </c>
      <c r="H78" s="7">
        <f>75+75</f>
        <v>150</v>
      </c>
      <c r="I78" s="7">
        <f>46+46</f>
        <v>92</v>
      </c>
      <c r="J78" s="7">
        <v>4</v>
      </c>
    </row>
    <row r="79" spans="1:10" x14ac:dyDescent="0.3">
      <c r="A79" s="13" t="s">
        <v>126</v>
      </c>
      <c r="B79" s="3" t="s">
        <v>302</v>
      </c>
      <c r="C79" s="3" t="s">
        <v>242</v>
      </c>
      <c r="D79" s="4">
        <v>27999</v>
      </c>
      <c r="E79" s="5">
        <v>41554</v>
      </c>
      <c r="F79" s="5" t="s">
        <v>85</v>
      </c>
      <c r="G79" s="6">
        <f t="shared" si="1"/>
        <v>238</v>
      </c>
      <c r="H79" s="7">
        <f>88+74</f>
        <v>162</v>
      </c>
      <c r="I79" s="7">
        <f>36+40</f>
        <v>76</v>
      </c>
      <c r="J79" s="7">
        <v>6</v>
      </c>
    </row>
    <row r="80" spans="1:10" x14ac:dyDescent="0.3">
      <c r="A80" s="13" t="s">
        <v>127</v>
      </c>
      <c r="B80" s="3" t="s">
        <v>303</v>
      </c>
      <c r="C80" s="3" t="s">
        <v>240</v>
      </c>
      <c r="D80" s="4">
        <v>28020</v>
      </c>
      <c r="E80" s="5">
        <v>42245</v>
      </c>
      <c r="F80" s="5" t="s">
        <v>85</v>
      </c>
      <c r="G80" s="6">
        <f t="shared" si="1"/>
        <v>233</v>
      </c>
      <c r="H80" s="7">
        <f>79+68</f>
        <v>147</v>
      </c>
      <c r="I80" s="7">
        <f>48+38</f>
        <v>86</v>
      </c>
      <c r="J80" s="7">
        <v>10</v>
      </c>
    </row>
    <row r="81" spans="1:10" x14ac:dyDescent="0.3">
      <c r="A81" s="13" t="s">
        <v>128</v>
      </c>
      <c r="B81" s="3" t="s">
        <v>305</v>
      </c>
      <c r="C81" s="3" t="s">
        <v>240</v>
      </c>
      <c r="D81" s="4">
        <v>28326</v>
      </c>
      <c r="E81" s="5">
        <v>41878</v>
      </c>
      <c r="F81" s="5" t="s">
        <v>85</v>
      </c>
      <c r="G81" s="6">
        <f t="shared" si="1"/>
        <v>230</v>
      </c>
      <c r="H81" s="7">
        <f>73+71</f>
        <v>144</v>
      </c>
      <c r="I81" s="7">
        <f>34+52</f>
        <v>86</v>
      </c>
      <c r="J81" s="7">
        <v>8</v>
      </c>
    </row>
    <row r="82" spans="1:10" x14ac:dyDescent="0.3">
      <c r="A82" s="13" t="s">
        <v>131</v>
      </c>
      <c r="B82" s="3" t="s">
        <v>306</v>
      </c>
      <c r="C82" s="3" t="s">
        <v>222</v>
      </c>
      <c r="D82" s="4">
        <v>27608</v>
      </c>
      <c r="E82" s="5">
        <v>42253</v>
      </c>
      <c r="F82" s="5" t="s">
        <v>85</v>
      </c>
      <c r="G82" s="6">
        <f t="shared" si="1"/>
        <v>227</v>
      </c>
      <c r="H82" s="7">
        <f>69+70</f>
        <v>139</v>
      </c>
      <c r="I82" s="7">
        <f>47+41</f>
        <v>88</v>
      </c>
      <c r="J82" s="7">
        <v>11</v>
      </c>
    </row>
    <row r="83" spans="1:10" x14ac:dyDescent="0.3">
      <c r="A83" s="13" t="s">
        <v>132</v>
      </c>
      <c r="B83" s="3" t="s">
        <v>307</v>
      </c>
      <c r="C83" s="3" t="s">
        <v>271</v>
      </c>
      <c r="D83" s="4">
        <v>28185</v>
      </c>
      <c r="E83" s="5">
        <v>41187</v>
      </c>
      <c r="F83" s="5" t="s">
        <v>85</v>
      </c>
      <c r="G83" s="6">
        <f t="shared" si="1"/>
        <v>227</v>
      </c>
      <c r="H83" s="7">
        <f>65+78</f>
        <v>143</v>
      </c>
      <c r="I83" s="7">
        <f>48+36</f>
        <v>84</v>
      </c>
      <c r="J83" s="7">
        <v>9</v>
      </c>
    </row>
    <row r="84" spans="1:10" x14ac:dyDescent="0.3">
      <c r="A84" s="13" t="s">
        <v>134</v>
      </c>
      <c r="B84" s="3" t="s">
        <v>308</v>
      </c>
      <c r="C84" s="3" t="s">
        <v>226</v>
      </c>
      <c r="D84" s="4">
        <v>27888</v>
      </c>
      <c r="E84" s="5">
        <v>42303</v>
      </c>
      <c r="F84" s="5" t="s">
        <v>85</v>
      </c>
      <c r="G84" s="6">
        <f t="shared" si="1"/>
        <v>222</v>
      </c>
      <c r="H84" s="7">
        <f>73+64</f>
        <v>137</v>
      </c>
      <c r="I84" s="7">
        <f>38+47</f>
        <v>85</v>
      </c>
      <c r="J84" s="7">
        <v>5</v>
      </c>
    </row>
    <row r="85" spans="1:10" x14ac:dyDescent="0.3">
      <c r="A85" s="13" t="s">
        <v>135</v>
      </c>
      <c r="B85" s="3" t="s">
        <v>309</v>
      </c>
      <c r="C85" s="3" t="s">
        <v>283</v>
      </c>
      <c r="D85" s="4">
        <v>28207</v>
      </c>
      <c r="E85" s="5">
        <v>41200</v>
      </c>
      <c r="F85" s="5" t="s">
        <v>85</v>
      </c>
      <c r="G85" s="6">
        <f t="shared" si="1"/>
        <v>220</v>
      </c>
      <c r="H85" s="7">
        <f>71+81</f>
        <v>152</v>
      </c>
      <c r="I85" s="7">
        <f>33+35</f>
        <v>68</v>
      </c>
      <c r="J85" s="7">
        <v>9</v>
      </c>
    </row>
    <row r="86" spans="1:10" x14ac:dyDescent="0.3">
      <c r="A86" s="20" t="s">
        <v>318</v>
      </c>
      <c r="B86" s="3" t="s">
        <v>310</v>
      </c>
      <c r="C86" s="3" t="s">
        <v>281</v>
      </c>
      <c r="D86" s="4">
        <v>28159</v>
      </c>
      <c r="E86" s="5">
        <v>41612</v>
      </c>
      <c r="F86" s="5" t="s">
        <v>85</v>
      </c>
      <c r="G86" s="6">
        <f t="shared" si="1"/>
        <v>216</v>
      </c>
      <c r="H86" s="7">
        <f>69+65</f>
        <v>134</v>
      </c>
      <c r="I86" s="7">
        <f>39+43</f>
        <v>82</v>
      </c>
      <c r="J86" s="7">
        <v>11</v>
      </c>
    </row>
    <row r="87" spans="1:10" x14ac:dyDescent="0.3">
      <c r="A87" s="13" t="s">
        <v>319</v>
      </c>
      <c r="B87" s="3" t="s">
        <v>311</v>
      </c>
      <c r="C87" s="3" t="s">
        <v>285</v>
      </c>
      <c r="D87" s="4">
        <v>28299</v>
      </c>
      <c r="E87" s="5">
        <v>41363</v>
      </c>
      <c r="F87" s="5" t="s">
        <v>85</v>
      </c>
      <c r="G87" s="6">
        <f t="shared" si="1"/>
        <v>210</v>
      </c>
      <c r="H87" s="7">
        <f>63+65</f>
        <v>128</v>
      </c>
      <c r="I87" s="7">
        <f>35+47</f>
        <v>82</v>
      </c>
      <c r="J87" s="7">
        <v>5</v>
      </c>
    </row>
    <row r="88" spans="1:10" x14ac:dyDescent="0.3">
      <c r="A88" s="13" t="s">
        <v>320</v>
      </c>
      <c r="B88" s="3" t="s">
        <v>312</v>
      </c>
      <c r="C88" s="3" t="s">
        <v>242</v>
      </c>
      <c r="D88" s="10">
        <v>28387</v>
      </c>
      <c r="E88" s="5">
        <v>41675</v>
      </c>
      <c r="F88" s="5" t="s">
        <v>85</v>
      </c>
      <c r="G88" s="6">
        <f t="shared" si="1"/>
        <v>206</v>
      </c>
      <c r="H88" s="7">
        <f>51+75</f>
        <v>126</v>
      </c>
      <c r="I88" s="7">
        <f>35+45</f>
        <v>80</v>
      </c>
      <c r="J88" s="7">
        <v>12</v>
      </c>
    </row>
    <row r="89" spans="1:10" x14ac:dyDescent="0.3">
      <c r="A89" s="13" t="s">
        <v>321</v>
      </c>
      <c r="B89" s="3" t="s">
        <v>314</v>
      </c>
      <c r="C89" s="3" t="s">
        <v>236</v>
      </c>
      <c r="D89" s="4">
        <v>28328</v>
      </c>
      <c r="E89" s="5">
        <v>42514</v>
      </c>
      <c r="F89" s="5" t="s">
        <v>85</v>
      </c>
      <c r="G89" s="6">
        <f t="shared" si="1"/>
        <v>194</v>
      </c>
      <c r="H89" s="7">
        <f>78+59</f>
        <v>137</v>
      </c>
      <c r="I89" s="7">
        <f>23+34</f>
        <v>57</v>
      </c>
      <c r="J89" s="7">
        <v>14</v>
      </c>
    </row>
    <row r="90" spans="1:10" x14ac:dyDescent="0.3">
      <c r="A90" s="13" t="s">
        <v>322</v>
      </c>
      <c r="B90" s="3" t="s">
        <v>315</v>
      </c>
      <c r="C90" s="3" t="s">
        <v>236</v>
      </c>
      <c r="D90" s="4">
        <v>28330</v>
      </c>
      <c r="E90" s="5">
        <v>41542</v>
      </c>
      <c r="F90" s="5" t="s">
        <v>85</v>
      </c>
      <c r="G90" s="6">
        <f t="shared" si="1"/>
        <v>188</v>
      </c>
      <c r="H90" s="7">
        <f>60+43</f>
        <v>103</v>
      </c>
      <c r="I90" s="7">
        <f>47+38</f>
        <v>85</v>
      </c>
      <c r="J90" s="7">
        <v>13</v>
      </c>
    </row>
    <row r="91" spans="1:10" x14ac:dyDescent="0.3">
      <c r="A91" s="13" t="s">
        <v>323</v>
      </c>
      <c r="B91" s="3" t="s">
        <v>316</v>
      </c>
      <c r="C91" s="3" t="s">
        <v>236</v>
      </c>
      <c r="D91" s="4">
        <v>28334</v>
      </c>
      <c r="E91" s="5">
        <v>42544</v>
      </c>
      <c r="F91" s="5" t="s">
        <v>85</v>
      </c>
      <c r="G91" s="6">
        <f t="shared" si="1"/>
        <v>179</v>
      </c>
      <c r="H91" s="7">
        <f>68+30</f>
        <v>98</v>
      </c>
      <c r="I91" s="7">
        <f>39+42</f>
        <v>81</v>
      </c>
      <c r="J91" s="7">
        <v>17</v>
      </c>
    </row>
    <row r="92" spans="1:10" x14ac:dyDescent="0.3">
      <c r="A92" s="13" t="s">
        <v>324</v>
      </c>
      <c r="B92" s="3" t="s">
        <v>317</v>
      </c>
      <c r="C92" s="3" t="s">
        <v>240</v>
      </c>
      <c r="D92" s="4">
        <v>28383</v>
      </c>
      <c r="E92" s="5">
        <v>42147</v>
      </c>
      <c r="F92" s="5" t="s">
        <v>85</v>
      </c>
      <c r="G92" s="6">
        <f t="shared" si="1"/>
        <v>171</v>
      </c>
      <c r="H92" s="7">
        <f>67+45</f>
        <v>112</v>
      </c>
      <c r="I92" s="7">
        <f>29+30</f>
        <v>59</v>
      </c>
      <c r="J92" s="7">
        <v>23</v>
      </c>
    </row>
    <row r="93" spans="1:10" x14ac:dyDescent="0.3">
      <c r="A93" s="13" t="s">
        <v>325</v>
      </c>
      <c r="B93" s="3" t="s">
        <v>313</v>
      </c>
      <c r="C93" s="3" t="s">
        <v>236</v>
      </c>
      <c r="D93" s="4">
        <v>27489</v>
      </c>
      <c r="E93" s="5">
        <v>42592</v>
      </c>
      <c r="F93" s="5" t="s">
        <v>85</v>
      </c>
      <c r="G93" s="6">
        <f t="shared" ref="G93:G97" si="2">IF(OR(ISBLANK($H93))," ",H93+I93)</f>
        <v>198</v>
      </c>
      <c r="H93" s="7">
        <f>69+59</f>
        <v>128</v>
      </c>
      <c r="I93" s="7">
        <f>27+43</f>
        <v>70</v>
      </c>
      <c r="J93" s="7">
        <v>11</v>
      </c>
    </row>
    <row r="94" spans="1:10" x14ac:dyDescent="0.3">
      <c r="A94" s="13" t="s">
        <v>219</v>
      </c>
      <c r="B94" s="3" t="s">
        <v>314</v>
      </c>
      <c r="C94" s="3" t="s">
        <v>236</v>
      </c>
      <c r="D94" s="4">
        <v>28328</v>
      </c>
      <c r="E94" s="5">
        <v>42514</v>
      </c>
      <c r="F94" s="5" t="s">
        <v>85</v>
      </c>
      <c r="G94" s="6">
        <f t="shared" si="2"/>
        <v>194</v>
      </c>
      <c r="H94" s="7">
        <f>78+59</f>
        <v>137</v>
      </c>
      <c r="I94" s="7">
        <f>23+34</f>
        <v>57</v>
      </c>
      <c r="J94" s="7">
        <v>14</v>
      </c>
    </row>
    <row r="95" spans="1:10" x14ac:dyDescent="0.3">
      <c r="A95" s="13" t="s">
        <v>435</v>
      </c>
      <c r="B95" s="3" t="s">
        <v>315</v>
      </c>
      <c r="C95" s="3" t="s">
        <v>236</v>
      </c>
      <c r="D95" s="4">
        <v>28330</v>
      </c>
      <c r="E95" s="5">
        <v>41542</v>
      </c>
      <c r="F95" s="5" t="s">
        <v>85</v>
      </c>
      <c r="G95" s="6">
        <f t="shared" si="2"/>
        <v>188</v>
      </c>
      <c r="H95" s="7">
        <f>60+43</f>
        <v>103</v>
      </c>
      <c r="I95" s="7">
        <f>47+38</f>
        <v>85</v>
      </c>
      <c r="J95" s="7">
        <v>13</v>
      </c>
    </row>
    <row r="96" spans="1:10" x14ac:dyDescent="0.3">
      <c r="A96" s="13" t="s">
        <v>436</v>
      </c>
      <c r="B96" s="3" t="s">
        <v>316</v>
      </c>
      <c r="C96" s="3" t="s">
        <v>236</v>
      </c>
      <c r="D96" s="4">
        <v>28334</v>
      </c>
      <c r="E96" s="5">
        <v>42544</v>
      </c>
      <c r="F96" s="5" t="s">
        <v>85</v>
      </c>
      <c r="G96" s="6">
        <f t="shared" si="2"/>
        <v>179</v>
      </c>
      <c r="H96" s="7">
        <f>68+30</f>
        <v>98</v>
      </c>
      <c r="I96" s="7">
        <f>39+42</f>
        <v>81</v>
      </c>
      <c r="J96" s="7">
        <v>17</v>
      </c>
    </row>
    <row r="97" spans="1:10" x14ac:dyDescent="0.3">
      <c r="A97" s="13" t="s">
        <v>437</v>
      </c>
      <c r="B97" s="3" t="s">
        <v>317</v>
      </c>
      <c r="C97" s="3" t="s">
        <v>240</v>
      </c>
      <c r="D97" s="4">
        <v>28383</v>
      </c>
      <c r="E97" s="5">
        <v>42147</v>
      </c>
      <c r="F97" s="5" t="s">
        <v>85</v>
      </c>
      <c r="G97" s="6">
        <f t="shared" si="2"/>
        <v>171</v>
      </c>
      <c r="H97" s="7">
        <f>67+45</f>
        <v>112</v>
      </c>
      <c r="I97" s="7">
        <f>29+30</f>
        <v>59</v>
      </c>
      <c r="J97" s="7">
        <v>23</v>
      </c>
    </row>
  </sheetData>
  <protectedRanges>
    <protectedRange sqref="B93:F97" name="Oblast2"/>
    <protectedRange sqref="B74:F92 B54:F69" name="Oblast2_2"/>
    <protectedRange sqref="C14:F53" name="Oblast2_1_3"/>
    <protectedRange sqref="H9:J53" name="Oblast3_1_1"/>
    <protectedRange sqref="B14:B53" name="Oblast2_1_1_2"/>
    <protectedRange sqref="C70:F73" name="Oblast2_1_2_1"/>
    <protectedRange sqref="B70:B73" name="Oblast2_1_1_1_1"/>
  </protectedRanges>
  <mergeCells count="15">
    <mergeCell ref="A15:J15"/>
    <mergeCell ref="A39:J39"/>
    <mergeCell ref="A63:J63"/>
    <mergeCell ref="A1:J4"/>
    <mergeCell ref="A5:A7"/>
    <mergeCell ref="B5:B7"/>
    <mergeCell ref="C5:C6"/>
    <mergeCell ref="D5:D7"/>
    <mergeCell ref="E5:E7"/>
    <mergeCell ref="A8:J8"/>
    <mergeCell ref="F5:F7"/>
    <mergeCell ref="G5:G7"/>
    <mergeCell ref="H5:H7"/>
    <mergeCell ref="I5:I7"/>
    <mergeCell ref="J5:J7"/>
  </mergeCells>
  <conditionalFormatting sqref="D93:D97">
    <cfRule type="cellIs" dxfId="7" priority="3" stopIfTrue="1" operator="equal">
      <formula>99999</formula>
    </cfRule>
  </conditionalFormatting>
  <conditionalFormatting sqref="D11">
    <cfRule type="cellIs" dxfId="5" priority="2" stopIfTrue="1" operator="equal">
      <formula>99999</formula>
    </cfRule>
  </conditionalFormatting>
  <conditionalFormatting sqref="D9:D14 D16:D38 D40:D62 D64:D92">
    <cfRule type="cellIs" dxfId="4" priority="1" stopIfTrue="1" operator="equal">
      <formula>99999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3F6B-870B-47ED-9250-64B84CCF74E3}">
  <dimension ref="A1:J29"/>
  <sheetViews>
    <sheetView workbookViewId="0">
      <selection activeCell="M6" sqref="M6"/>
    </sheetView>
  </sheetViews>
  <sheetFormatPr defaultRowHeight="14.4" x14ac:dyDescent="0.3"/>
  <cols>
    <col min="2" max="2" width="20.6640625" customWidth="1"/>
    <col min="3" max="3" width="17.5546875" customWidth="1"/>
    <col min="5" max="5" width="0" hidden="1" customWidth="1"/>
  </cols>
  <sheetData>
    <row r="1" spans="1:10" ht="15" customHeight="1" x14ac:dyDescent="0.3">
      <c r="A1" s="93" t="s">
        <v>326</v>
      </c>
      <c r="B1" s="94"/>
      <c r="C1" s="94"/>
      <c r="D1" s="94"/>
      <c r="E1" s="94"/>
      <c r="F1" s="94"/>
      <c r="G1" s="94"/>
      <c r="H1" s="94"/>
      <c r="I1" s="94"/>
      <c r="J1" s="95"/>
    </row>
    <row r="2" spans="1:10" x14ac:dyDescent="0.3">
      <c r="A2" s="96"/>
      <c r="B2" s="97"/>
      <c r="C2" s="97"/>
      <c r="D2" s="97"/>
      <c r="E2" s="97"/>
      <c r="F2" s="97"/>
      <c r="G2" s="97"/>
      <c r="H2" s="97"/>
      <c r="I2" s="97"/>
      <c r="J2" s="98"/>
    </row>
    <row r="3" spans="1:10" x14ac:dyDescent="0.3">
      <c r="A3" s="96"/>
      <c r="B3" s="97"/>
      <c r="C3" s="97"/>
      <c r="D3" s="97"/>
      <c r="E3" s="97"/>
      <c r="F3" s="97"/>
      <c r="G3" s="97"/>
      <c r="H3" s="97"/>
      <c r="I3" s="97"/>
      <c r="J3" s="98"/>
    </row>
    <row r="4" spans="1:10" ht="15" thickBot="1" x14ac:dyDescent="0.35">
      <c r="A4" s="99"/>
      <c r="B4" s="100"/>
      <c r="C4" s="100"/>
      <c r="D4" s="100"/>
      <c r="E4" s="100"/>
      <c r="F4" s="100"/>
      <c r="G4" s="100"/>
      <c r="H4" s="100"/>
      <c r="I4" s="100"/>
      <c r="J4" s="101"/>
    </row>
    <row r="5" spans="1:10" ht="15" thickBot="1" x14ac:dyDescent="0.35">
      <c r="A5" s="61"/>
      <c r="B5" s="102" t="s">
        <v>1</v>
      </c>
      <c r="C5" s="103" t="s">
        <v>2</v>
      </c>
      <c r="D5" s="90" t="s">
        <v>3</v>
      </c>
      <c r="E5" s="104" t="s">
        <v>4</v>
      </c>
      <c r="F5" s="90" t="s">
        <v>5</v>
      </c>
      <c r="G5" s="91" t="s">
        <v>6</v>
      </c>
      <c r="H5" s="91" t="s">
        <v>7</v>
      </c>
      <c r="I5" s="91" t="s">
        <v>8</v>
      </c>
      <c r="J5" s="92" t="s">
        <v>9</v>
      </c>
    </row>
    <row r="6" spans="1:10" ht="15" thickBot="1" x14ac:dyDescent="0.35">
      <c r="A6" s="61"/>
      <c r="B6" s="63"/>
      <c r="C6" s="66"/>
      <c r="D6" s="46"/>
      <c r="E6" s="67"/>
      <c r="F6" s="46"/>
      <c r="G6" s="48"/>
      <c r="H6" s="48"/>
      <c r="I6" s="48"/>
      <c r="J6" s="50"/>
    </row>
    <row r="7" spans="1:10" ht="15" thickBot="1" x14ac:dyDescent="0.35">
      <c r="A7" s="62"/>
      <c r="B7" s="64"/>
      <c r="C7" s="1"/>
      <c r="D7" s="47"/>
      <c r="E7" s="68"/>
      <c r="F7" s="47"/>
      <c r="G7" s="49"/>
      <c r="H7" s="49"/>
      <c r="I7" s="49"/>
      <c r="J7" s="51"/>
    </row>
    <row r="8" spans="1:10" ht="19.8" customHeight="1" thickBot="1" x14ac:dyDescent="0.35">
      <c r="A8" s="40" t="s">
        <v>110</v>
      </c>
      <c r="B8" s="41"/>
      <c r="C8" s="41"/>
      <c r="D8" s="41"/>
      <c r="E8" s="41"/>
      <c r="F8" s="41"/>
      <c r="G8" s="41"/>
      <c r="H8" s="41"/>
      <c r="I8" s="41"/>
      <c r="J8" s="42"/>
    </row>
    <row r="9" spans="1:10" x14ac:dyDescent="0.3">
      <c r="A9" s="14" t="s">
        <v>111</v>
      </c>
      <c r="B9" s="15" t="s">
        <v>327</v>
      </c>
      <c r="C9" s="15" t="s">
        <v>328</v>
      </c>
      <c r="D9" s="16">
        <v>26735</v>
      </c>
      <c r="E9" s="17" t="s">
        <v>329</v>
      </c>
      <c r="F9" s="17" t="s">
        <v>12</v>
      </c>
      <c r="G9" s="6">
        <f t="shared" ref="G9:G29" si="0">IF(OR(ISBLANK($H9))," ",H9+I9)</f>
        <v>251</v>
      </c>
      <c r="H9" s="18">
        <v>181</v>
      </c>
      <c r="I9" s="18">
        <v>70</v>
      </c>
      <c r="J9" s="18">
        <v>5</v>
      </c>
    </row>
    <row r="10" spans="1:10" x14ac:dyDescent="0.3">
      <c r="A10" s="2" t="s">
        <v>112</v>
      </c>
      <c r="B10" s="3" t="s">
        <v>330</v>
      </c>
      <c r="C10" s="3" t="s">
        <v>331</v>
      </c>
      <c r="D10" s="4">
        <v>27410</v>
      </c>
      <c r="E10" s="5">
        <v>40573</v>
      </c>
      <c r="F10" s="5" t="s">
        <v>12</v>
      </c>
      <c r="G10" s="6">
        <f t="shared" si="0"/>
        <v>244</v>
      </c>
      <c r="H10" s="7">
        <v>165</v>
      </c>
      <c r="I10" s="7">
        <v>79</v>
      </c>
      <c r="J10" s="7">
        <v>6</v>
      </c>
    </row>
    <row r="11" spans="1:10" x14ac:dyDescent="0.3">
      <c r="A11" s="2" t="s">
        <v>113</v>
      </c>
      <c r="B11" s="3" t="s">
        <v>332</v>
      </c>
      <c r="C11" s="3" t="s">
        <v>333</v>
      </c>
      <c r="D11" s="4">
        <v>27018</v>
      </c>
      <c r="E11" s="5">
        <v>40794</v>
      </c>
      <c r="F11" s="5" t="s">
        <v>12</v>
      </c>
      <c r="G11" s="6">
        <f t="shared" si="0"/>
        <v>238</v>
      </c>
      <c r="H11" s="7">
        <v>159</v>
      </c>
      <c r="I11" s="7">
        <v>79</v>
      </c>
      <c r="J11" s="7">
        <v>5</v>
      </c>
    </row>
    <row r="12" spans="1:10" ht="15" thickBot="1" x14ac:dyDescent="0.35">
      <c r="A12" s="20" t="s">
        <v>114</v>
      </c>
      <c r="B12" s="21" t="s">
        <v>334</v>
      </c>
      <c r="C12" s="21" t="s">
        <v>335</v>
      </c>
      <c r="D12" s="22">
        <v>26637</v>
      </c>
      <c r="E12" s="23">
        <v>40873</v>
      </c>
      <c r="F12" s="23" t="s">
        <v>12</v>
      </c>
      <c r="G12" s="24">
        <f t="shared" si="0"/>
        <v>224</v>
      </c>
      <c r="H12" s="25">
        <v>179</v>
      </c>
      <c r="I12" s="25">
        <v>45</v>
      </c>
      <c r="J12" s="25">
        <v>13</v>
      </c>
    </row>
    <row r="13" spans="1:10" ht="19.2" customHeight="1" thickBot="1" x14ac:dyDescent="0.35">
      <c r="A13" s="43" t="s">
        <v>129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0" x14ac:dyDescent="0.3">
      <c r="A14" s="14" t="s">
        <v>111</v>
      </c>
      <c r="B14" s="15" t="s">
        <v>336</v>
      </c>
      <c r="C14" s="15" t="s">
        <v>337</v>
      </c>
      <c r="D14" s="16">
        <v>28287</v>
      </c>
      <c r="E14" s="17">
        <v>41704</v>
      </c>
      <c r="F14" s="17" t="s">
        <v>43</v>
      </c>
      <c r="G14" s="6">
        <f t="shared" si="0"/>
        <v>239</v>
      </c>
      <c r="H14" s="18">
        <v>147</v>
      </c>
      <c r="I14" s="18">
        <v>92</v>
      </c>
      <c r="J14" s="18">
        <v>5</v>
      </c>
    </row>
    <row r="15" spans="1:10" x14ac:dyDescent="0.3">
      <c r="A15" s="2" t="s">
        <v>112</v>
      </c>
      <c r="B15" s="3" t="s">
        <v>338</v>
      </c>
      <c r="C15" s="3" t="s">
        <v>337</v>
      </c>
      <c r="D15" s="4">
        <v>28288</v>
      </c>
      <c r="E15" s="5">
        <v>41477</v>
      </c>
      <c r="F15" s="5" t="s">
        <v>43</v>
      </c>
      <c r="G15" s="6">
        <f t="shared" si="0"/>
        <v>213</v>
      </c>
      <c r="H15" s="7">
        <v>144</v>
      </c>
      <c r="I15" s="7">
        <v>69</v>
      </c>
      <c r="J15" s="7">
        <v>8</v>
      </c>
    </row>
    <row r="16" spans="1:10" ht="15" thickBot="1" x14ac:dyDescent="0.35">
      <c r="A16" s="35" t="s">
        <v>113</v>
      </c>
      <c r="B16" s="21" t="s">
        <v>339</v>
      </c>
      <c r="C16" s="21" t="s">
        <v>337</v>
      </c>
      <c r="D16" s="22">
        <v>28289</v>
      </c>
      <c r="E16" s="23">
        <v>41674</v>
      </c>
      <c r="F16" s="23" t="s">
        <v>43</v>
      </c>
      <c r="G16" s="24">
        <f t="shared" si="0"/>
        <v>191</v>
      </c>
      <c r="H16" s="25">
        <v>127</v>
      </c>
      <c r="I16" s="25">
        <v>64</v>
      </c>
      <c r="J16" s="25">
        <v>10</v>
      </c>
    </row>
    <row r="17" spans="1:10" ht="20.399999999999999" customHeight="1" thickBot="1" x14ac:dyDescent="0.35">
      <c r="A17" s="69" t="s">
        <v>130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0" x14ac:dyDescent="0.3">
      <c r="A18" s="14" t="s">
        <v>111</v>
      </c>
      <c r="B18" s="15" t="s">
        <v>340</v>
      </c>
      <c r="C18" s="15" t="s">
        <v>341</v>
      </c>
      <c r="D18" s="16">
        <v>27100</v>
      </c>
      <c r="E18" s="17">
        <v>40835</v>
      </c>
      <c r="F18" s="17" t="s">
        <v>60</v>
      </c>
      <c r="G18" s="6">
        <f t="shared" si="0"/>
        <v>262</v>
      </c>
      <c r="H18" s="18">
        <v>193</v>
      </c>
      <c r="I18" s="18">
        <v>69</v>
      </c>
      <c r="J18" s="18">
        <v>5</v>
      </c>
    </row>
    <row r="19" spans="1:10" x14ac:dyDescent="0.3">
      <c r="A19" s="2" t="s">
        <v>112</v>
      </c>
      <c r="B19" s="3" t="s">
        <v>342</v>
      </c>
      <c r="C19" s="3" t="s">
        <v>331</v>
      </c>
      <c r="D19" s="4">
        <v>27662</v>
      </c>
      <c r="E19" s="5">
        <v>40858</v>
      </c>
      <c r="F19" s="5" t="s">
        <v>60</v>
      </c>
      <c r="G19" s="6">
        <f t="shared" si="0"/>
        <v>249</v>
      </c>
      <c r="H19" s="7">
        <v>169</v>
      </c>
      <c r="I19" s="7">
        <v>80</v>
      </c>
      <c r="J19" s="7">
        <v>6</v>
      </c>
    </row>
    <row r="20" spans="1:10" x14ac:dyDescent="0.3">
      <c r="A20" s="2" t="s">
        <v>113</v>
      </c>
      <c r="B20" s="3" t="s">
        <v>343</v>
      </c>
      <c r="C20" s="3" t="s">
        <v>337</v>
      </c>
      <c r="D20" s="4">
        <v>27619</v>
      </c>
      <c r="E20" s="5">
        <v>41037</v>
      </c>
      <c r="F20" s="5" t="s">
        <v>60</v>
      </c>
      <c r="G20" s="6">
        <f t="shared" si="0"/>
        <v>222</v>
      </c>
      <c r="H20" s="7">
        <v>162</v>
      </c>
      <c r="I20" s="7">
        <v>60</v>
      </c>
      <c r="J20" s="7">
        <v>4</v>
      </c>
    </row>
    <row r="21" spans="1:10" x14ac:dyDescent="0.3">
      <c r="A21" s="20" t="s">
        <v>114</v>
      </c>
      <c r="B21" s="3" t="s">
        <v>344</v>
      </c>
      <c r="C21" s="3" t="s">
        <v>345</v>
      </c>
      <c r="D21" s="4">
        <v>27731</v>
      </c>
      <c r="E21" s="5" t="s">
        <v>346</v>
      </c>
      <c r="F21" s="5" t="s">
        <v>60</v>
      </c>
      <c r="G21" s="6">
        <f t="shared" si="0"/>
        <v>220</v>
      </c>
      <c r="H21" s="7">
        <v>150</v>
      </c>
      <c r="I21" s="7">
        <v>70</v>
      </c>
      <c r="J21" s="7">
        <v>5</v>
      </c>
    </row>
    <row r="22" spans="1:10" x14ac:dyDescent="0.3">
      <c r="A22" s="13" t="s">
        <v>115</v>
      </c>
      <c r="B22" s="3" t="s">
        <v>347</v>
      </c>
      <c r="C22" s="3" t="s">
        <v>348</v>
      </c>
      <c r="D22" s="4">
        <v>26651</v>
      </c>
      <c r="E22" s="5" t="s">
        <v>349</v>
      </c>
      <c r="F22" s="5" t="s">
        <v>60</v>
      </c>
      <c r="G22" s="6">
        <f t="shared" si="0"/>
        <v>177</v>
      </c>
      <c r="H22" s="7">
        <v>136</v>
      </c>
      <c r="I22" s="7">
        <v>41</v>
      </c>
      <c r="J22" s="7">
        <v>16</v>
      </c>
    </row>
    <row r="23" spans="1:10" ht="15" thickBot="1" x14ac:dyDescent="0.35">
      <c r="A23" s="20" t="s">
        <v>116</v>
      </c>
      <c r="B23" s="21" t="s">
        <v>350</v>
      </c>
      <c r="C23" s="21" t="s">
        <v>176</v>
      </c>
      <c r="D23" s="22">
        <v>28363</v>
      </c>
      <c r="E23" s="23" t="s">
        <v>351</v>
      </c>
      <c r="F23" s="23" t="s">
        <v>60</v>
      </c>
      <c r="G23" s="24">
        <f t="shared" si="0"/>
        <v>135</v>
      </c>
      <c r="H23" s="25">
        <v>115</v>
      </c>
      <c r="I23" s="25">
        <v>20</v>
      </c>
      <c r="J23" s="25">
        <v>22</v>
      </c>
    </row>
    <row r="24" spans="1:10" ht="20.399999999999999" customHeight="1" thickBot="1" x14ac:dyDescent="0.35">
      <c r="A24" s="43" t="s">
        <v>133</v>
      </c>
      <c r="B24" s="44"/>
      <c r="C24" s="44"/>
      <c r="D24" s="44"/>
      <c r="E24" s="44"/>
      <c r="F24" s="44"/>
      <c r="G24" s="44"/>
      <c r="H24" s="44"/>
      <c r="I24" s="44"/>
      <c r="J24" s="45"/>
    </row>
    <row r="25" spans="1:10" x14ac:dyDescent="0.3">
      <c r="A25" s="14" t="s">
        <v>111</v>
      </c>
      <c r="B25" s="15" t="s">
        <v>352</v>
      </c>
      <c r="C25" s="15" t="s">
        <v>341</v>
      </c>
      <c r="D25" s="16">
        <v>27543</v>
      </c>
      <c r="E25" s="17">
        <v>41706</v>
      </c>
      <c r="F25" s="17" t="s">
        <v>85</v>
      </c>
      <c r="G25" s="6">
        <f t="shared" si="0"/>
        <v>271</v>
      </c>
      <c r="H25" s="18">
        <v>170</v>
      </c>
      <c r="I25" s="18">
        <v>101</v>
      </c>
      <c r="J25" s="18">
        <v>4</v>
      </c>
    </row>
    <row r="26" spans="1:10" x14ac:dyDescent="0.3">
      <c r="A26" s="2" t="s">
        <v>112</v>
      </c>
      <c r="B26" s="3" t="s">
        <v>353</v>
      </c>
      <c r="C26" s="3" t="s">
        <v>331</v>
      </c>
      <c r="D26" s="4">
        <v>27861</v>
      </c>
      <c r="E26" s="5">
        <v>41479</v>
      </c>
      <c r="F26" s="5" t="s">
        <v>85</v>
      </c>
      <c r="G26" s="6">
        <f t="shared" si="0"/>
        <v>246</v>
      </c>
      <c r="H26" s="7">
        <v>162</v>
      </c>
      <c r="I26" s="7">
        <v>84</v>
      </c>
      <c r="J26" s="7">
        <v>3</v>
      </c>
    </row>
    <row r="27" spans="1:10" x14ac:dyDescent="0.3">
      <c r="A27" s="2" t="s">
        <v>113</v>
      </c>
      <c r="B27" s="3" t="s">
        <v>354</v>
      </c>
      <c r="C27" s="3" t="s">
        <v>331</v>
      </c>
      <c r="D27" s="4">
        <v>27548</v>
      </c>
      <c r="E27" s="5">
        <v>41788</v>
      </c>
      <c r="F27" s="5" t="s">
        <v>85</v>
      </c>
      <c r="G27" s="6">
        <f t="shared" si="0"/>
        <v>242</v>
      </c>
      <c r="H27" s="7">
        <v>152</v>
      </c>
      <c r="I27" s="7">
        <v>90</v>
      </c>
      <c r="J27" s="7">
        <v>6</v>
      </c>
    </row>
    <row r="28" spans="1:10" x14ac:dyDescent="0.3">
      <c r="A28" s="20" t="s">
        <v>114</v>
      </c>
      <c r="B28" s="3" t="s">
        <v>355</v>
      </c>
      <c r="C28" s="3" t="s">
        <v>345</v>
      </c>
      <c r="D28" s="10">
        <v>27732</v>
      </c>
      <c r="E28" s="5" t="s">
        <v>356</v>
      </c>
      <c r="F28" s="5" t="s">
        <v>85</v>
      </c>
      <c r="G28" s="6">
        <f t="shared" si="0"/>
        <v>218</v>
      </c>
      <c r="H28" s="7">
        <v>144</v>
      </c>
      <c r="I28" s="7">
        <v>74</v>
      </c>
      <c r="J28" s="7">
        <v>7</v>
      </c>
    </row>
    <row r="29" spans="1:10" x14ac:dyDescent="0.3">
      <c r="A29" s="13" t="s">
        <v>115</v>
      </c>
      <c r="B29" s="3" t="s">
        <v>357</v>
      </c>
      <c r="C29" s="3" t="s">
        <v>331</v>
      </c>
      <c r="D29" s="4">
        <v>27918</v>
      </c>
      <c r="E29" s="5">
        <v>42675</v>
      </c>
      <c r="F29" s="5" t="s">
        <v>85</v>
      </c>
      <c r="G29" s="6">
        <f t="shared" si="0"/>
        <v>215</v>
      </c>
      <c r="H29" s="7">
        <v>140</v>
      </c>
      <c r="I29" s="7">
        <v>75</v>
      </c>
      <c r="J29" s="7">
        <v>8</v>
      </c>
    </row>
  </sheetData>
  <protectedRanges>
    <protectedRange sqref="C16:F29" name="Oblast2_1"/>
    <protectedRange sqref="H9:J29" name="Oblast3_1"/>
    <protectedRange sqref="B16:B29" name="Oblast2_1_1"/>
  </protectedRanges>
  <mergeCells count="15">
    <mergeCell ref="A1:J4"/>
    <mergeCell ref="A5:A7"/>
    <mergeCell ref="B5:B7"/>
    <mergeCell ref="C5:C6"/>
    <mergeCell ref="D5:D7"/>
    <mergeCell ref="E5:E7"/>
    <mergeCell ref="A8:J8"/>
    <mergeCell ref="A13:J13"/>
    <mergeCell ref="A17:J17"/>
    <mergeCell ref="A24:J24"/>
    <mergeCell ref="F5:F7"/>
    <mergeCell ref="G5:G7"/>
    <mergeCell ref="H5:H7"/>
    <mergeCell ref="I5:I7"/>
    <mergeCell ref="J5:J7"/>
  </mergeCells>
  <conditionalFormatting sqref="D9:D12 D14:D16 D18:D23 D25:D29">
    <cfRule type="cellIs" dxfId="3" priority="1" stopIfTrue="1" operator="equal">
      <formula>99999</formula>
    </cfRule>
  </conditionalFormatting>
  <conditionalFormatting sqref="D12">
    <cfRule type="cellIs" dxfId="2" priority="2" stopIfTrue="1" operator="equal">
      <formula>99999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A83D-64D6-47DA-9845-13DC5D19F6CC}">
  <dimension ref="A1:J72"/>
  <sheetViews>
    <sheetView workbookViewId="0">
      <selection activeCell="N8" sqref="N8"/>
    </sheetView>
  </sheetViews>
  <sheetFormatPr defaultRowHeight="14.4" x14ac:dyDescent="0.3"/>
  <cols>
    <col min="2" max="2" width="19.109375" customWidth="1"/>
    <col min="3" max="3" width="17.5546875" customWidth="1"/>
    <col min="5" max="5" width="0" hidden="1" customWidth="1"/>
  </cols>
  <sheetData>
    <row r="1" spans="1:10" x14ac:dyDescent="0.3">
      <c r="A1" s="105" t="s">
        <v>358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x14ac:dyDescent="0.3">
      <c r="A2" s="108"/>
      <c r="B2" s="109"/>
      <c r="C2" s="109"/>
      <c r="D2" s="109"/>
      <c r="E2" s="109"/>
      <c r="F2" s="109"/>
      <c r="G2" s="109"/>
      <c r="H2" s="109"/>
      <c r="I2" s="109"/>
      <c r="J2" s="110"/>
    </row>
    <row r="3" spans="1:10" x14ac:dyDescent="0.3">
      <c r="A3" s="108"/>
      <c r="B3" s="109"/>
      <c r="C3" s="109"/>
      <c r="D3" s="109"/>
      <c r="E3" s="109"/>
      <c r="F3" s="109"/>
      <c r="G3" s="109"/>
      <c r="H3" s="109"/>
      <c r="I3" s="109"/>
      <c r="J3" s="110"/>
    </row>
    <row r="4" spans="1:10" ht="15" thickBot="1" x14ac:dyDescent="0.35">
      <c r="A4" s="111"/>
      <c r="B4" s="112"/>
      <c r="C4" s="112"/>
      <c r="D4" s="112"/>
      <c r="E4" s="112"/>
      <c r="F4" s="112"/>
      <c r="G4" s="112"/>
      <c r="H4" s="112"/>
      <c r="I4" s="112"/>
      <c r="J4" s="113"/>
    </row>
    <row r="5" spans="1:10" ht="15" thickBot="1" x14ac:dyDescent="0.35">
      <c r="A5" s="61"/>
      <c r="B5" s="63" t="s">
        <v>1</v>
      </c>
      <c r="C5" s="65" t="s">
        <v>2</v>
      </c>
      <c r="D5" s="46" t="s">
        <v>3</v>
      </c>
      <c r="E5" s="67" t="s">
        <v>4</v>
      </c>
      <c r="F5" s="46" t="s">
        <v>5</v>
      </c>
      <c r="G5" s="48" t="s">
        <v>6</v>
      </c>
      <c r="H5" s="48" t="s">
        <v>7</v>
      </c>
      <c r="I5" s="48" t="s">
        <v>8</v>
      </c>
      <c r="J5" s="50" t="s">
        <v>9</v>
      </c>
    </row>
    <row r="6" spans="1:10" ht="15" thickBot="1" x14ac:dyDescent="0.35">
      <c r="A6" s="61"/>
      <c r="B6" s="63"/>
      <c r="C6" s="66"/>
      <c r="D6" s="46"/>
      <c r="E6" s="67"/>
      <c r="F6" s="46"/>
      <c r="G6" s="48"/>
      <c r="H6" s="48"/>
      <c r="I6" s="48"/>
      <c r="J6" s="50"/>
    </row>
    <row r="7" spans="1:10" ht="15" thickBot="1" x14ac:dyDescent="0.35">
      <c r="A7" s="62"/>
      <c r="B7" s="64"/>
      <c r="C7" s="1"/>
      <c r="D7" s="47"/>
      <c r="E7" s="68"/>
      <c r="F7" s="47"/>
      <c r="G7" s="49"/>
      <c r="H7" s="49"/>
      <c r="I7" s="49"/>
      <c r="J7" s="51"/>
    </row>
    <row r="8" spans="1:10" ht="21" customHeight="1" thickBot="1" x14ac:dyDescent="0.35">
      <c r="A8" s="40" t="s">
        <v>110</v>
      </c>
      <c r="B8" s="41"/>
      <c r="C8" s="41"/>
      <c r="D8" s="41"/>
      <c r="E8" s="41"/>
      <c r="F8" s="41"/>
      <c r="G8" s="41"/>
      <c r="H8" s="41"/>
      <c r="I8" s="41"/>
      <c r="J8" s="42"/>
    </row>
    <row r="9" spans="1:10" x14ac:dyDescent="0.3">
      <c r="A9" s="14" t="s">
        <v>111</v>
      </c>
      <c r="B9" s="15" t="s">
        <v>359</v>
      </c>
      <c r="C9" s="15" t="s">
        <v>360</v>
      </c>
      <c r="D9" s="16">
        <v>26972</v>
      </c>
      <c r="E9" s="17">
        <v>40625</v>
      </c>
      <c r="F9" s="17" t="s">
        <v>12</v>
      </c>
      <c r="G9" s="6">
        <f t="shared" ref="G9:G44" si="0">IF(OR(ISBLANK($H9))," ",H9+I9)</f>
        <v>289</v>
      </c>
      <c r="H9" s="18">
        <v>183</v>
      </c>
      <c r="I9" s="18">
        <v>106</v>
      </c>
      <c r="J9" s="18">
        <v>2</v>
      </c>
    </row>
    <row r="10" spans="1:10" x14ac:dyDescent="0.3">
      <c r="A10" s="2" t="s">
        <v>112</v>
      </c>
      <c r="B10" s="3" t="s">
        <v>361</v>
      </c>
      <c r="C10" s="3" t="s">
        <v>360</v>
      </c>
      <c r="D10" s="4">
        <v>26975</v>
      </c>
      <c r="E10" s="5">
        <v>40577</v>
      </c>
      <c r="F10" s="5" t="s">
        <v>12</v>
      </c>
      <c r="G10" s="6">
        <f t="shared" si="0"/>
        <v>267</v>
      </c>
      <c r="H10" s="7">
        <v>191</v>
      </c>
      <c r="I10" s="7">
        <v>76</v>
      </c>
      <c r="J10" s="7">
        <v>10</v>
      </c>
    </row>
    <row r="11" spans="1:10" x14ac:dyDescent="0.3">
      <c r="A11" s="2" t="s">
        <v>113</v>
      </c>
      <c r="B11" s="3" t="s">
        <v>362</v>
      </c>
      <c r="C11" s="3" t="s">
        <v>363</v>
      </c>
      <c r="D11" s="4">
        <v>27866</v>
      </c>
      <c r="E11" s="5">
        <v>41082</v>
      </c>
      <c r="F11" s="5" t="s">
        <v>12</v>
      </c>
      <c r="G11" s="6">
        <f t="shared" si="0"/>
        <v>264</v>
      </c>
      <c r="H11" s="7">
        <v>178</v>
      </c>
      <c r="I11" s="7">
        <v>86</v>
      </c>
      <c r="J11" s="7">
        <v>5</v>
      </c>
    </row>
    <row r="12" spans="1:10" x14ac:dyDescent="0.3">
      <c r="A12" s="13" t="s">
        <v>114</v>
      </c>
      <c r="B12" s="3" t="s">
        <v>364</v>
      </c>
      <c r="C12" s="3" t="s">
        <v>365</v>
      </c>
      <c r="D12" s="4">
        <v>26691</v>
      </c>
      <c r="E12" s="5">
        <v>40733</v>
      </c>
      <c r="F12" s="5" t="s">
        <v>12</v>
      </c>
      <c r="G12" s="6">
        <f t="shared" si="0"/>
        <v>246</v>
      </c>
      <c r="H12" s="7">
        <v>165</v>
      </c>
      <c r="I12" s="7">
        <v>81</v>
      </c>
      <c r="J12" s="7">
        <v>5</v>
      </c>
    </row>
    <row r="13" spans="1:10" x14ac:dyDescent="0.3">
      <c r="A13" s="13" t="s">
        <v>115</v>
      </c>
      <c r="B13" s="3" t="s">
        <v>366</v>
      </c>
      <c r="C13" s="3" t="s">
        <v>360</v>
      </c>
      <c r="D13" s="4">
        <v>26973</v>
      </c>
      <c r="E13" s="5">
        <v>40854</v>
      </c>
      <c r="F13" s="5" t="s">
        <v>12</v>
      </c>
      <c r="G13" s="6">
        <f t="shared" si="0"/>
        <v>240</v>
      </c>
      <c r="H13" s="7">
        <v>170</v>
      </c>
      <c r="I13" s="7">
        <v>70</v>
      </c>
      <c r="J13" s="7">
        <v>5</v>
      </c>
    </row>
    <row r="14" spans="1:10" x14ac:dyDescent="0.3">
      <c r="A14" s="13" t="s">
        <v>116</v>
      </c>
      <c r="B14" s="3" t="s">
        <v>367</v>
      </c>
      <c r="C14" s="3" t="s">
        <v>368</v>
      </c>
      <c r="D14" s="4">
        <v>27924</v>
      </c>
      <c r="E14" s="5">
        <v>41033</v>
      </c>
      <c r="F14" s="5" t="s">
        <v>12</v>
      </c>
      <c r="G14" s="6">
        <f t="shared" si="0"/>
        <v>234</v>
      </c>
      <c r="H14" s="7">
        <v>163</v>
      </c>
      <c r="I14" s="7">
        <v>71</v>
      </c>
      <c r="J14" s="7">
        <v>5</v>
      </c>
    </row>
    <row r="15" spans="1:10" x14ac:dyDescent="0.3">
      <c r="A15" s="13" t="s">
        <v>117</v>
      </c>
      <c r="B15" s="3" t="s">
        <v>369</v>
      </c>
      <c r="C15" s="3" t="s">
        <v>360</v>
      </c>
      <c r="D15" s="4">
        <v>27225</v>
      </c>
      <c r="E15" s="5">
        <v>40739</v>
      </c>
      <c r="F15" s="5" t="s">
        <v>12</v>
      </c>
      <c r="G15" s="6">
        <f t="shared" si="0"/>
        <v>231</v>
      </c>
      <c r="H15" s="7">
        <v>164</v>
      </c>
      <c r="I15" s="7">
        <v>67</v>
      </c>
      <c r="J15" s="7">
        <v>7</v>
      </c>
    </row>
    <row r="16" spans="1:10" x14ac:dyDescent="0.3">
      <c r="A16" s="13" t="s">
        <v>118</v>
      </c>
      <c r="B16" s="3" t="s">
        <v>370</v>
      </c>
      <c r="C16" s="3" t="s">
        <v>363</v>
      </c>
      <c r="D16" s="4">
        <v>27865</v>
      </c>
      <c r="E16" s="5">
        <v>40390</v>
      </c>
      <c r="F16" s="5" t="s">
        <v>12</v>
      </c>
      <c r="G16" s="6">
        <f t="shared" si="0"/>
        <v>227</v>
      </c>
      <c r="H16" s="7">
        <v>167</v>
      </c>
      <c r="I16" s="7">
        <v>60</v>
      </c>
      <c r="J16" s="7">
        <v>6</v>
      </c>
    </row>
    <row r="17" spans="1:10" x14ac:dyDescent="0.3">
      <c r="A17" s="13" t="s">
        <v>119</v>
      </c>
      <c r="B17" s="3" t="s">
        <v>371</v>
      </c>
      <c r="C17" s="3" t="s">
        <v>360</v>
      </c>
      <c r="D17" s="4">
        <v>27873</v>
      </c>
      <c r="E17" s="5">
        <v>40684</v>
      </c>
      <c r="F17" s="5" t="s">
        <v>12</v>
      </c>
      <c r="G17" s="6">
        <f t="shared" si="0"/>
        <v>222</v>
      </c>
      <c r="H17" s="7">
        <v>164</v>
      </c>
      <c r="I17" s="7">
        <v>58</v>
      </c>
      <c r="J17" s="7">
        <v>8</v>
      </c>
    </row>
    <row r="18" spans="1:10" x14ac:dyDescent="0.3">
      <c r="A18" s="13" t="s">
        <v>120</v>
      </c>
      <c r="B18" s="3" t="s">
        <v>372</v>
      </c>
      <c r="C18" s="3" t="s">
        <v>360</v>
      </c>
      <c r="D18" s="4">
        <v>28286</v>
      </c>
      <c r="E18" s="5">
        <v>40758</v>
      </c>
      <c r="F18" s="5" t="s">
        <v>12</v>
      </c>
      <c r="G18" s="6">
        <f t="shared" si="0"/>
        <v>216</v>
      </c>
      <c r="H18" s="7">
        <v>167</v>
      </c>
      <c r="I18" s="7">
        <v>49</v>
      </c>
      <c r="J18" s="7">
        <v>13</v>
      </c>
    </row>
    <row r="19" spans="1:10" x14ac:dyDescent="0.3">
      <c r="A19" s="13" t="s">
        <v>121</v>
      </c>
      <c r="B19" s="3" t="s">
        <v>373</v>
      </c>
      <c r="C19" s="3" t="s">
        <v>374</v>
      </c>
      <c r="D19" s="4">
        <v>28415</v>
      </c>
      <c r="E19" s="5">
        <v>40630</v>
      </c>
      <c r="F19" s="5" t="s">
        <v>12</v>
      </c>
      <c r="G19" s="6">
        <f t="shared" si="0"/>
        <v>199</v>
      </c>
      <c r="H19" s="7">
        <v>148</v>
      </c>
      <c r="I19" s="7">
        <v>51</v>
      </c>
      <c r="J19" s="7">
        <v>13</v>
      </c>
    </row>
    <row r="20" spans="1:10" x14ac:dyDescent="0.3">
      <c r="A20" s="13" t="s">
        <v>122</v>
      </c>
      <c r="B20" s="3" t="s">
        <v>375</v>
      </c>
      <c r="C20" s="3" t="s">
        <v>376</v>
      </c>
      <c r="D20" s="4">
        <v>26836</v>
      </c>
      <c r="E20" s="5">
        <v>40419</v>
      </c>
      <c r="F20" s="5" t="s">
        <v>12</v>
      </c>
      <c r="G20" s="6">
        <f t="shared" si="0"/>
        <v>199</v>
      </c>
      <c r="H20" s="7">
        <v>155</v>
      </c>
      <c r="I20" s="7">
        <v>44</v>
      </c>
      <c r="J20" s="7">
        <v>15</v>
      </c>
    </row>
    <row r="21" spans="1:10" ht="15" thickBot="1" x14ac:dyDescent="0.35">
      <c r="A21" s="20" t="s">
        <v>123</v>
      </c>
      <c r="B21" s="21" t="s">
        <v>377</v>
      </c>
      <c r="C21" s="21" t="s">
        <v>368</v>
      </c>
      <c r="D21" s="22">
        <v>27557</v>
      </c>
      <c r="E21" s="23">
        <v>40919</v>
      </c>
      <c r="F21" s="23" t="s">
        <v>12</v>
      </c>
      <c r="G21" s="24">
        <f t="shared" si="0"/>
        <v>188</v>
      </c>
      <c r="H21" s="25">
        <v>144</v>
      </c>
      <c r="I21" s="25">
        <v>44</v>
      </c>
      <c r="J21" s="25">
        <v>15</v>
      </c>
    </row>
    <row r="22" spans="1:10" ht="21" customHeight="1" thickBot="1" x14ac:dyDescent="0.35">
      <c r="A22" s="43" t="s">
        <v>129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0" x14ac:dyDescent="0.3">
      <c r="A23" s="14" t="s">
        <v>111</v>
      </c>
      <c r="B23" s="15" t="s">
        <v>378</v>
      </c>
      <c r="C23" s="15" t="s">
        <v>360</v>
      </c>
      <c r="D23" s="16">
        <v>27870</v>
      </c>
      <c r="E23" s="17">
        <v>41815</v>
      </c>
      <c r="F23" s="17" t="s">
        <v>43</v>
      </c>
      <c r="G23" s="6">
        <f t="shared" si="0"/>
        <v>250</v>
      </c>
      <c r="H23" s="18">
        <v>166</v>
      </c>
      <c r="I23" s="18">
        <v>84</v>
      </c>
      <c r="J23" s="18">
        <v>6</v>
      </c>
    </row>
    <row r="24" spans="1:10" x14ac:dyDescent="0.3">
      <c r="A24" s="2" t="s">
        <v>112</v>
      </c>
      <c r="B24" s="3" t="s">
        <v>379</v>
      </c>
      <c r="C24" s="3" t="s">
        <v>380</v>
      </c>
      <c r="D24" s="4">
        <v>27899</v>
      </c>
      <c r="E24" s="5">
        <v>41946</v>
      </c>
      <c r="F24" s="5" t="s">
        <v>43</v>
      </c>
      <c r="G24" s="6">
        <f t="shared" si="0"/>
        <v>242</v>
      </c>
      <c r="H24" s="7">
        <v>149</v>
      </c>
      <c r="I24" s="7">
        <v>93</v>
      </c>
      <c r="J24" s="7">
        <v>4</v>
      </c>
    </row>
    <row r="25" spans="1:10" x14ac:dyDescent="0.3">
      <c r="A25" s="2" t="s">
        <v>113</v>
      </c>
      <c r="B25" s="3" t="s">
        <v>381</v>
      </c>
      <c r="C25" s="3" t="s">
        <v>368</v>
      </c>
      <c r="D25" s="4">
        <v>28400</v>
      </c>
      <c r="E25" s="5">
        <v>42450</v>
      </c>
      <c r="F25" s="5" t="s">
        <v>43</v>
      </c>
      <c r="G25" s="6">
        <f t="shared" si="0"/>
        <v>240</v>
      </c>
      <c r="H25" s="7">
        <v>164</v>
      </c>
      <c r="I25" s="7">
        <v>76</v>
      </c>
      <c r="J25" s="7">
        <v>7</v>
      </c>
    </row>
    <row r="26" spans="1:10" x14ac:dyDescent="0.3">
      <c r="A26" s="13" t="s">
        <v>114</v>
      </c>
      <c r="B26" s="3" t="s">
        <v>382</v>
      </c>
      <c r="C26" s="3" t="s">
        <v>374</v>
      </c>
      <c r="D26" s="4">
        <v>28004</v>
      </c>
      <c r="E26" s="5">
        <v>41131</v>
      </c>
      <c r="F26" s="5" t="s">
        <v>43</v>
      </c>
      <c r="G26" s="6">
        <f t="shared" si="0"/>
        <v>229</v>
      </c>
      <c r="H26" s="7">
        <v>150</v>
      </c>
      <c r="I26" s="7">
        <v>79</v>
      </c>
      <c r="J26" s="7">
        <v>8</v>
      </c>
    </row>
    <row r="27" spans="1:10" x14ac:dyDescent="0.3">
      <c r="A27" s="13" t="s">
        <v>115</v>
      </c>
      <c r="B27" s="3" t="s">
        <v>383</v>
      </c>
      <c r="C27" s="3" t="s">
        <v>380</v>
      </c>
      <c r="D27" s="4">
        <v>27898</v>
      </c>
      <c r="E27" s="5">
        <v>41946</v>
      </c>
      <c r="F27" s="5" t="s">
        <v>43</v>
      </c>
      <c r="G27" s="6">
        <f t="shared" si="0"/>
        <v>228</v>
      </c>
      <c r="H27" s="7">
        <v>147</v>
      </c>
      <c r="I27" s="7">
        <v>81</v>
      </c>
      <c r="J27" s="7">
        <v>6</v>
      </c>
    </row>
    <row r="28" spans="1:10" x14ac:dyDescent="0.3">
      <c r="A28" s="13" t="s">
        <v>116</v>
      </c>
      <c r="B28" s="3" t="s">
        <v>384</v>
      </c>
      <c r="C28" s="3" t="s">
        <v>385</v>
      </c>
      <c r="D28" s="4">
        <v>27960</v>
      </c>
      <c r="E28" s="5">
        <v>41899</v>
      </c>
      <c r="F28" s="5" t="s">
        <v>43</v>
      </c>
      <c r="G28" s="6">
        <f t="shared" si="0"/>
        <v>221</v>
      </c>
      <c r="H28" s="7">
        <v>134</v>
      </c>
      <c r="I28" s="7">
        <v>87</v>
      </c>
      <c r="J28" s="7">
        <v>6</v>
      </c>
    </row>
    <row r="29" spans="1:10" x14ac:dyDescent="0.3">
      <c r="A29" s="13" t="s">
        <v>117</v>
      </c>
      <c r="B29" s="3" t="s">
        <v>386</v>
      </c>
      <c r="C29" s="3" t="s">
        <v>360</v>
      </c>
      <c r="D29" s="4">
        <v>28271</v>
      </c>
      <c r="E29" s="5">
        <v>42074</v>
      </c>
      <c r="F29" s="5" t="s">
        <v>43</v>
      </c>
      <c r="G29" s="6">
        <f t="shared" si="0"/>
        <v>218</v>
      </c>
      <c r="H29" s="7">
        <v>141</v>
      </c>
      <c r="I29" s="7">
        <v>77</v>
      </c>
      <c r="J29" s="7">
        <v>8</v>
      </c>
    </row>
    <row r="30" spans="1:10" ht="15" thickBot="1" x14ac:dyDescent="0.35">
      <c r="A30" s="20" t="s">
        <v>118</v>
      </c>
      <c r="B30" s="21" t="s">
        <v>387</v>
      </c>
      <c r="C30" s="36" t="s">
        <v>380</v>
      </c>
      <c r="D30" s="22">
        <v>27901</v>
      </c>
      <c r="E30" s="23">
        <v>42181</v>
      </c>
      <c r="F30" s="23" t="s">
        <v>43</v>
      </c>
      <c r="G30" s="24">
        <f t="shared" si="0"/>
        <v>207</v>
      </c>
      <c r="H30" s="25">
        <v>127</v>
      </c>
      <c r="I30" s="25">
        <v>80</v>
      </c>
      <c r="J30" s="25">
        <v>8</v>
      </c>
    </row>
    <row r="31" spans="1:10" ht="22.2" customHeight="1" thickBot="1" x14ac:dyDescent="0.35">
      <c r="A31" s="43" t="s">
        <v>130</v>
      </c>
      <c r="B31" s="44"/>
      <c r="C31" s="44"/>
      <c r="D31" s="44"/>
      <c r="E31" s="44"/>
      <c r="F31" s="44"/>
      <c r="G31" s="44"/>
      <c r="H31" s="44"/>
      <c r="I31" s="44"/>
      <c r="J31" s="45"/>
    </row>
    <row r="32" spans="1:10" x14ac:dyDescent="0.3">
      <c r="A32" s="14" t="s">
        <v>111</v>
      </c>
      <c r="B32" s="15" t="s">
        <v>388</v>
      </c>
      <c r="C32" s="15" t="s">
        <v>389</v>
      </c>
      <c r="D32" s="16">
        <v>26505</v>
      </c>
      <c r="E32" s="17">
        <v>40690</v>
      </c>
      <c r="F32" s="17" t="s">
        <v>60</v>
      </c>
      <c r="G32" s="6">
        <f t="shared" si="0"/>
        <v>268</v>
      </c>
      <c r="H32" s="18">
        <v>177</v>
      </c>
      <c r="I32" s="18">
        <v>91</v>
      </c>
      <c r="J32" s="18">
        <v>3</v>
      </c>
    </row>
    <row r="33" spans="1:10" x14ac:dyDescent="0.3">
      <c r="A33" s="2" t="s">
        <v>112</v>
      </c>
      <c r="B33" s="3" t="s">
        <v>390</v>
      </c>
      <c r="C33" s="3" t="s">
        <v>360</v>
      </c>
      <c r="D33" s="4">
        <v>27474</v>
      </c>
      <c r="E33" s="5">
        <v>40589</v>
      </c>
      <c r="F33" s="5" t="s">
        <v>60</v>
      </c>
      <c r="G33" s="6">
        <f t="shared" si="0"/>
        <v>263</v>
      </c>
      <c r="H33" s="7">
        <v>175</v>
      </c>
      <c r="I33" s="7">
        <v>88</v>
      </c>
      <c r="J33" s="7">
        <v>4</v>
      </c>
    </row>
    <row r="34" spans="1:10" x14ac:dyDescent="0.3">
      <c r="A34" s="2" t="s">
        <v>113</v>
      </c>
      <c r="B34" s="3" t="s">
        <v>391</v>
      </c>
      <c r="C34" s="3" t="s">
        <v>358</v>
      </c>
      <c r="D34" s="4">
        <v>26666</v>
      </c>
      <c r="E34" s="5">
        <v>40888</v>
      </c>
      <c r="F34" s="5" t="s">
        <v>60</v>
      </c>
      <c r="G34" s="6">
        <f t="shared" si="0"/>
        <v>254</v>
      </c>
      <c r="H34" s="7">
        <v>168</v>
      </c>
      <c r="I34" s="7">
        <v>86</v>
      </c>
      <c r="J34" s="7">
        <v>4</v>
      </c>
    </row>
    <row r="35" spans="1:10" x14ac:dyDescent="0.3">
      <c r="A35" s="13" t="s">
        <v>114</v>
      </c>
      <c r="B35" s="3" t="s">
        <v>392</v>
      </c>
      <c r="C35" s="3" t="s">
        <v>376</v>
      </c>
      <c r="D35" s="4">
        <v>27971</v>
      </c>
      <c r="E35" s="5">
        <v>40588</v>
      </c>
      <c r="F35" s="5" t="s">
        <v>60</v>
      </c>
      <c r="G35" s="6">
        <f t="shared" si="0"/>
        <v>253</v>
      </c>
      <c r="H35" s="7">
        <v>183</v>
      </c>
      <c r="I35" s="7">
        <v>70</v>
      </c>
      <c r="J35" s="7">
        <v>8</v>
      </c>
    </row>
    <row r="36" spans="1:10" x14ac:dyDescent="0.3">
      <c r="A36" s="13" t="s">
        <v>115</v>
      </c>
      <c r="B36" s="3" t="s">
        <v>393</v>
      </c>
      <c r="C36" s="3" t="s">
        <v>368</v>
      </c>
      <c r="D36" s="4">
        <v>27923</v>
      </c>
      <c r="E36" s="5">
        <v>40915</v>
      </c>
      <c r="F36" s="5" t="s">
        <v>60</v>
      </c>
      <c r="G36" s="6">
        <f t="shared" si="0"/>
        <v>251</v>
      </c>
      <c r="H36" s="7">
        <v>163</v>
      </c>
      <c r="I36" s="7">
        <v>88</v>
      </c>
      <c r="J36" s="7">
        <v>6</v>
      </c>
    </row>
    <row r="37" spans="1:10" x14ac:dyDescent="0.3">
      <c r="A37" s="13" t="s">
        <v>116</v>
      </c>
      <c r="B37" s="3" t="s">
        <v>394</v>
      </c>
      <c r="C37" s="3" t="s">
        <v>358</v>
      </c>
      <c r="D37" s="4">
        <v>27527</v>
      </c>
      <c r="E37" s="5">
        <v>40906</v>
      </c>
      <c r="F37" s="5" t="s">
        <v>60</v>
      </c>
      <c r="G37" s="6">
        <f t="shared" si="0"/>
        <v>251</v>
      </c>
      <c r="H37" s="7">
        <v>180</v>
      </c>
      <c r="I37" s="7">
        <v>71</v>
      </c>
      <c r="J37" s="7">
        <v>5</v>
      </c>
    </row>
    <row r="38" spans="1:10" x14ac:dyDescent="0.3">
      <c r="A38" s="13" t="s">
        <v>117</v>
      </c>
      <c r="B38" s="3" t="s">
        <v>395</v>
      </c>
      <c r="C38" s="9" t="s">
        <v>396</v>
      </c>
      <c r="D38" s="4">
        <v>26845</v>
      </c>
      <c r="E38" s="5">
        <v>40777</v>
      </c>
      <c r="F38" s="5" t="s">
        <v>60</v>
      </c>
      <c r="G38" s="6">
        <f t="shared" si="0"/>
        <v>241</v>
      </c>
      <c r="H38" s="7">
        <v>182</v>
      </c>
      <c r="I38" s="7">
        <v>59</v>
      </c>
      <c r="J38" s="7">
        <v>6</v>
      </c>
    </row>
    <row r="39" spans="1:10" x14ac:dyDescent="0.3">
      <c r="A39" s="20" t="s">
        <v>118</v>
      </c>
      <c r="B39" s="3" t="s">
        <v>397</v>
      </c>
      <c r="C39" s="3" t="s">
        <v>380</v>
      </c>
      <c r="D39" s="4">
        <v>26704</v>
      </c>
      <c r="E39" s="5">
        <v>40687</v>
      </c>
      <c r="F39" s="5" t="s">
        <v>60</v>
      </c>
      <c r="G39" s="6">
        <f t="shared" si="0"/>
        <v>240</v>
      </c>
      <c r="H39" s="7">
        <v>179</v>
      </c>
      <c r="I39" s="7">
        <v>61</v>
      </c>
      <c r="J39" s="7">
        <v>13</v>
      </c>
    </row>
    <row r="40" spans="1:10" x14ac:dyDescent="0.3">
      <c r="A40" s="13" t="s">
        <v>119</v>
      </c>
      <c r="B40" s="3" t="s">
        <v>398</v>
      </c>
      <c r="C40" s="3" t="s">
        <v>399</v>
      </c>
      <c r="D40" s="4">
        <v>27325</v>
      </c>
      <c r="E40" s="5">
        <v>40691</v>
      </c>
      <c r="F40" s="5" t="s">
        <v>60</v>
      </c>
      <c r="G40" s="6">
        <f t="shared" si="0"/>
        <v>237</v>
      </c>
      <c r="H40" s="7">
        <v>167</v>
      </c>
      <c r="I40" s="7">
        <v>70</v>
      </c>
      <c r="J40" s="7">
        <v>10</v>
      </c>
    </row>
    <row r="41" spans="1:10" x14ac:dyDescent="0.3">
      <c r="A41" s="13" t="s">
        <v>120</v>
      </c>
      <c r="B41" s="3" t="s">
        <v>400</v>
      </c>
      <c r="C41" s="3" t="s">
        <v>380</v>
      </c>
      <c r="D41" s="4">
        <v>26820</v>
      </c>
      <c r="E41" s="5">
        <v>40628</v>
      </c>
      <c r="F41" s="5" t="s">
        <v>60</v>
      </c>
      <c r="G41" s="6">
        <f t="shared" si="0"/>
        <v>230</v>
      </c>
      <c r="H41" s="7">
        <v>178</v>
      </c>
      <c r="I41" s="7">
        <v>52</v>
      </c>
      <c r="J41" s="7">
        <v>11</v>
      </c>
    </row>
    <row r="42" spans="1:10" x14ac:dyDescent="0.3">
      <c r="A42" s="13" t="s">
        <v>121</v>
      </c>
      <c r="B42" s="3" t="s">
        <v>401</v>
      </c>
      <c r="C42" s="3" t="s">
        <v>402</v>
      </c>
      <c r="D42" s="4">
        <v>26227</v>
      </c>
      <c r="E42" s="5">
        <v>40361</v>
      </c>
      <c r="F42" s="5" t="s">
        <v>60</v>
      </c>
      <c r="G42" s="6">
        <f t="shared" si="0"/>
        <v>226</v>
      </c>
      <c r="H42" s="7">
        <v>157</v>
      </c>
      <c r="I42" s="7">
        <v>69</v>
      </c>
      <c r="J42" s="7">
        <v>6</v>
      </c>
    </row>
    <row r="43" spans="1:10" x14ac:dyDescent="0.3">
      <c r="A43" s="13" t="s">
        <v>122</v>
      </c>
      <c r="B43" s="3" t="s">
        <v>403</v>
      </c>
      <c r="C43" s="3" t="s">
        <v>365</v>
      </c>
      <c r="D43" s="4">
        <v>27982</v>
      </c>
      <c r="E43" s="5">
        <v>40678</v>
      </c>
      <c r="F43" s="5" t="s">
        <v>60</v>
      </c>
      <c r="G43" s="6">
        <f t="shared" si="0"/>
        <v>222</v>
      </c>
      <c r="H43" s="7">
        <v>163</v>
      </c>
      <c r="I43" s="7">
        <v>59</v>
      </c>
      <c r="J43" s="7">
        <v>5</v>
      </c>
    </row>
    <row r="44" spans="1:10" x14ac:dyDescent="0.3">
      <c r="A44" s="13" t="s">
        <v>123</v>
      </c>
      <c r="B44" s="3" t="s">
        <v>404</v>
      </c>
      <c r="C44" s="3" t="s">
        <v>399</v>
      </c>
      <c r="D44" s="4">
        <v>27323</v>
      </c>
      <c r="E44" s="5">
        <v>40691</v>
      </c>
      <c r="F44" s="5" t="s">
        <v>60</v>
      </c>
      <c r="G44" s="6">
        <f t="shared" si="0"/>
        <v>221</v>
      </c>
      <c r="H44" s="7">
        <v>158</v>
      </c>
      <c r="I44" s="7">
        <v>63</v>
      </c>
      <c r="J44" s="7">
        <v>10</v>
      </c>
    </row>
    <row r="45" spans="1:10" x14ac:dyDescent="0.3">
      <c r="A45" s="13" t="s">
        <v>124</v>
      </c>
      <c r="B45" s="3" t="s">
        <v>405</v>
      </c>
      <c r="C45" s="3" t="s">
        <v>374</v>
      </c>
      <c r="D45" s="4">
        <v>27293</v>
      </c>
      <c r="E45" s="5">
        <v>41062</v>
      </c>
      <c r="F45" s="5" t="s">
        <v>60</v>
      </c>
      <c r="G45" s="6">
        <v>208</v>
      </c>
      <c r="H45" s="7">
        <v>149</v>
      </c>
      <c r="I45" s="7">
        <v>59</v>
      </c>
      <c r="J45" s="7">
        <v>10</v>
      </c>
    </row>
    <row r="46" spans="1:10" x14ac:dyDescent="0.3">
      <c r="A46" s="13" t="s">
        <v>125</v>
      </c>
      <c r="B46" s="3" t="s">
        <v>406</v>
      </c>
      <c r="C46" s="3" t="s">
        <v>358</v>
      </c>
      <c r="D46" s="4">
        <v>26664</v>
      </c>
      <c r="E46" s="5">
        <v>41015</v>
      </c>
      <c r="F46" s="5" t="s">
        <v>60</v>
      </c>
      <c r="G46" s="6">
        <f t="shared" ref="G46:G58" si="1">IF(OR(ISBLANK($H46))," ",H46+I46)</f>
        <v>204</v>
      </c>
      <c r="H46" s="7">
        <v>162</v>
      </c>
      <c r="I46" s="7">
        <v>42</v>
      </c>
      <c r="J46" s="7">
        <v>15</v>
      </c>
    </row>
    <row r="47" spans="1:10" x14ac:dyDescent="0.3">
      <c r="A47" s="13" t="s">
        <v>126</v>
      </c>
      <c r="B47" s="3" t="s">
        <v>407</v>
      </c>
      <c r="C47" s="3" t="s">
        <v>363</v>
      </c>
      <c r="D47" s="4">
        <v>28335</v>
      </c>
      <c r="E47" s="5">
        <v>40809</v>
      </c>
      <c r="F47" s="8" t="s">
        <v>60</v>
      </c>
      <c r="G47" s="6">
        <f t="shared" si="1"/>
        <v>186</v>
      </c>
      <c r="H47" s="7">
        <v>145</v>
      </c>
      <c r="I47" s="7">
        <v>41</v>
      </c>
      <c r="J47" s="7">
        <v>16</v>
      </c>
    </row>
    <row r="48" spans="1:10" x14ac:dyDescent="0.3">
      <c r="A48" s="13" t="s">
        <v>127</v>
      </c>
      <c r="B48" s="3" t="s">
        <v>408</v>
      </c>
      <c r="C48" s="3" t="s">
        <v>374</v>
      </c>
      <c r="D48" s="4">
        <v>28414</v>
      </c>
      <c r="E48" s="5">
        <v>40567</v>
      </c>
      <c r="F48" s="5" t="s">
        <v>60</v>
      </c>
      <c r="G48" s="6">
        <f t="shared" si="1"/>
        <v>183</v>
      </c>
      <c r="H48" s="7">
        <v>140</v>
      </c>
      <c r="I48" s="7">
        <v>43</v>
      </c>
      <c r="J48" s="7">
        <v>15</v>
      </c>
    </row>
    <row r="49" spans="1:10" ht="15" thickBot="1" x14ac:dyDescent="0.35">
      <c r="A49" s="20" t="s">
        <v>128</v>
      </c>
      <c r="B49" s="37" t="s">
        <v>409</v>
      </c>
      <c r="C49" s="37" t="s">
        <v>358</v>
      </c>
      <c r="D49" s="38">
        <v>28074</v>
      </c>
      <c r="E49" s="23">
        <v>40767</v>
      </c>
      <c r="F49" s="39" t="s">
        <v>60</v>
      </c>
      <c r="G49" s="24">
        <f t="shared" si="1"/>
        <v>173</v>
      </c>
      <c r="H49" s="25">
        <v>129</v>
      </c>
      <c r="I49" s="25">
        <v>44</v>
      </c>
      <c r="J49" s="25">
        <v>14</v>
      </c>
    </row>
    <row r="50" spans="1:10" ht="20.399999999999999" customHeight="1" thickBot="1" x14ac:dyDescent="0.35">
      <c r="A50" s="43" t="s">
        <v>133</v>
      </c>
      <c r="B50" s="44"/>
      <c r="C50" s="44"/>
      <c r="D50" s="44"/>
      <c r="E50" s="44"/>
      <c r="F50" s="44"/>
      <c r="G50" s="44"/>
      <c r="H50" s="44"/>
      <c r="I50" s="44"/>
      <c r="J50" s="45"/>
    </row>
    <row r="51" spans="1:10" x14ac:dyDescent="0.3">
      <c r="A51" s="14" t="s">
        <v>111</v>
      </c>
      <c r="B51" s="15" t="s">
        <v>410</v>
      </c>
      <c r="C51" s="15" t="s">
        <v>368</v>
      </c>
      <c r="D51" s="16">
        <v>27558</v>
      </c>
      <c r="E51" s="17">
        <v>41541</v>
      </c>
      <c r="F51" s="17" t="s">
        <v>85</v>
      </c>
      <c r="G51" s="6">
        <f t="shared" si="1"/>
        <v>277</v>
      </c>
      <c r="H51" s="18">
        <v>179</v>
      </c>
      <c r="I51" s="18">
        <v>98</v>
      </c>
      <c r="J51" s="18">
        <v>2</v>
      </c>
    </row>
    <row r="52" spans="1:10" x14ac:dyDescent="0.3">
      <c r="A52" s="2" t="s">
        <v>112</v>
      </c>
      <c r="B52" s="3" t="s">
        <v>411</v>
      </c>
      <c r="C52" s="3" t="s">
        <v>358</v>
      </c>
      <c r="D52" s="4">
        <v>28080</v>
      </c>
      <c r="E52" s="5">
        <v>42370</v>
      </c>
      <c r="F52" s="5" t="s">
        <v>85</v>
      </c>
      <c r="G52" s="6">
        <f t="shared" si="1"/>
        <v>260</v>
      </c>
      <c r="H52" s="7">
        <v>168</v>
      </c>
      <c r="I52" s="7">
        <v>92</v>
      </c>
      <c r="J52" s="7">
        <v>4</v>
      </c>
    </row>
    <row r="53" spans="1:10" x14ac:dyDescent="0.3">
      <c r="A53" s="2" t="s">
        <v>113</v>
      </c>
      <c r="B53" s="3" t="s">
        <v>412</v>
      </c>
      <c r="C53" s="3" t="s">
        <v>360</v>
      </c>
      <c r="D53" s="4">
        <v>27869</v>
      </c>
      <c r="E53" s="5">
        <v>41737</v>
      </c>
      <c r="F53" s="5" t="s">
        <v>85</v>
      </c>
      <c r="G53" s="6">
        <f t="shared" si="1"/>
        <v>253</v>
      </c>
      <c r="H53" s="7">
        <v>149</v>
      </c>
      <c r="I53" s="7">
        <v>104</v>
      </c>
      <c r="J53" s="7">
        <v>4</v>
      </c>
    </row>
    <row r="54" spans="1:10" x14ac:dyDescent="0.3">
      <c r="A54" s="13" t="s">
        <v>114</v>
      </c>
      <c r="B54" s="3" t="s">
        <v>413</v>
      </c>
      <c r="C54" s="3" t="s">
        <v>402</v>
      </c>
      <c r="D54" s="4">
        <v>28098</v>
      </c>
      <c r="E54" s="5">
        <v>41592</v>
      </c>
      <c r="F54" s="5" t="s">
        <v>85</v>
      </c>
      <c r="G54" s="6">
        <f t="shared" si="1"/>
        <v>250</v>
      </c>
      <c r="H54" s="7">
        <v>154</v>
      </c>
      <c r="I54" s="7">
        <v>96</v>
      </c>
      <c r="J54" s="7">
        <v>3</v>
      </c>
    </row>
    <row r="55" spans="1:10" x14ac:dyDescent="0.3">
      <c r="A55" s="13" t="s">
        <v>115</v>
      </c>
      <c r="B55" s="3" t="s">
        <v>414</v>
      </c>
      <c r="C55" s="3" t="s">
        <v>374</v>
      </c>
      <c r="D55" s="4">
        <v>27294</v>
      </c>
      <c r="E55" s="5">
        <v>41426</v>
      </c>
      <c r="F55" s="5" t="s">
        <v>85</v>
      </c>
      <c r="G55" s="6">
        <f t="shared" si="1"/>
        <v>248</v>
      </c>
      <c r="H55" s="7">
        <v>165</v>
      </c>
      <c r="I55" s="7">
        <v>83</v>
      </c>
      <c r="J55" s="7">
        <v>6</v>
      </c>
    </row>
    <row r="56" spans="1:10" x14ac:dyDescent="0.3">
      <c r="A56" s="13" t="s">
        <v>116</v>
      </c>
      <c r="B56" s="3" t="s">
        <v>415</v>
      </c>
      <c r="C56" s="3" t="s">
        <v>374</v>
      </c>
      <c r="D56" s="4">
        <v>27292</v>
      </c>
      <c r="E56" s="5">
        <v>41208</v>
      </c>
      <c r="F56" s="5" t="s">
        <v>85</v>
      </c>
      <c r="G56" s="6">
        <f t="shared" si="1"/>
        <v>238</v>
      </c>
      <c r="H56" s="7">
        <v>166</v>
      </c>
      <c r="I56" s="7">
        <v>72</v>
      </c>
      <c r="J56" s="7">
        <v>4</v>
      </c>
    </row>
    <row r="57" spans="1:10" x14ac:dyDescent="0.3">
      <c r="A57" s="13" t="s">
        <v>117</v>
      </c>
      <c r="B57" s="3" t="s">
        <v>416</v>
      </c>
      <c r="C57" s="3" t="s">
        <v>385</v>
      </c>
      <c r="D57" s="4">
        <v>27169</v>
      </c>
      <c r="E57" s="5">
        <v>41186</v>
      </c>
      <c r="F57" s="5" t="s">
        <v>85</v>
      </c>
      <c r="G57" s="6">
        <f t="shared" si="1"/>
        <v>235</v>
      </c>
      <c r="H57" s="7">
        <v>160</v>
      </c>
      <c r="I57" s="7">
        <v>75</v>
      </c>
      <c r="J57" s="7">
        <v>5</v>
      </c>
    </row>
    <row r="58" spans="1:10" x14ac:dyDescent="0.3">
      <c r="A58" s="20" t="s">
        <v>118</v>
      </c>
      <c r="B58" s="3" t="s">
        <v>417</v>
      </c>
      <c r="C58" s="3" t="s">
        <v>368</v>
      </c>
      <c r="D58" s="4">
        <v>27939</v>
      </c>
      <c r="E58" s="5">
        <v>42129</v>
      </c>
      <c r="F58" s="5" t="s">
        <v>85</v>
      </c>
      <c r="G58" s="6">
        <f t="shared" si="1"/>
        <v>234</v>
      </c>
      <c r="H58" s="7">
        <v>155</v>
      </c>
      <c r="I58" s="7">
        <v>79</v>
      </c>
      <c r="J58" s="7">
        <v>9</v>
      </c>
    </row>
    <row r="59" spans="1:10" x14ac:dyDescent="0.3">
      <c r="A59" s="13" t="s">
        <v>119</v>
      </c>
      <c r="B59" s="3" t="s">
        <v>418</v>
      </c>
      <c r="C59" s="3" t="s">
        <v>419</v>
      </c>
      <c r="D59" s="4">
        <v>27224</v>
      </c>
      <c r="E59" s="5">
        <v>41648</v>
      </c>
      <c r="F59" s="5" t="s">
        <v>85</v>
      </c>
      <c r="G59" s="6">
        <v>232</v>
      </c>
      <c r="H59" s="7">
        <v>150</v>
      </c>
      <c r="I59" s="7">
        <v>82</v>
      </c>
      <c r="J59" s="7">
        <v>6</v>
      </c>
    </row>
    <row r="60" spans="1:10" x14ac:dyDescent="0.3">
      <c r="A60" s="13" t="s">
        <v>120</v>
      </c>
      <c r="B60" s="3" t="s">
        <v>420</v>
      </c>
      <c r="C60" s="3" t="s">
        <v>358</v>
      </c>
      <c r="D60" s="4">
        <v>28077</v>
      </c>
      <c r="E60" s="5">
        <v>42419</v>
      </c>
      <c r="F60" s="8" t="s">
        <v>85</v>
      </c>
      <c r="G60" s="6">
        <f t="shared" ref="G60:G72" si="2">IF(OR(ISBLANK($H60))," ",H60+I60)</f>
        <v>231</v>
      </c>
      <c r="H60" s="7">
        <v>131</v>
      </c>
      <c r="I60" s="7">
        <v>100</v>
      </c>
      <c r="J60" s="7">
        <v>1</v>
      </c>
    </row>
    <row r="61" spans="1:10" x14ac:dyDescent="0.3">
      <c r="A61" s="13" t="s">
        <v>121</v>
      </c>
      <c r="B61" s="3" t="s">
        <v>421</v>
      </c>
      <c r="C61" s="3" t="s">
        <v>389</v>
      </c>
      <c r="D61" s="4">
        <v>27955</v>
      </c>
      <c r="E61" s="5">
        <v>41534</v>
      </c>
      <c r="F61" s="5" t="s">
        <v>85</v>
      </c>
      <c r="G61" s="6">
        <f t="shared" si="2"/>
        <v>228</v>
      </c>
      <c r="H61" s="7">
        <v>142</v>
      </c>
      <c r="I61" s="7">
        <v>86</v>
      </c>
      <c r="J61" s="7">
        <v>10</v>
      </c>
    </row>
    <row r="62" spans="1:10" x14ac:dyDescent="0.3">
      <c r="A62" s="13" t="s">
        <v>122</v>
      </c>
      <c r="B62" s="3" t="s">
        <v>422</v>
      </c>
      <c r="C62" s="3" t="s">
        <v>423</v>
      </c>
      <c r="D62" s="4">
        <v>27877</v>
      </c>
      <c r="E62" s="5">
        <v>41607</v>
      </c>
      <c r="F62" s="5" t="s">
        <v>85</v>
      </c>
      <c r="G62" s="6">
        <f t="shared" si="2"/>
        <v>225</v>
      </c>
      <c r="H62" s="7">
        <v>139</v>
      </c>
      <c r="I62" s="7">
        <v>86</v>
      </c>
      <c r="J62" s="7">
        <v>4</v>
      </c>
    </row>
    <row r="63" spans="1:10" x14ac:dyDescent="0.3">
      <c r="A63" s="13" t="s">
        <v>123</v>
      </c>
      <c r="B63" s="3" t="s">
        <v>424</v>
      </c>
      <c r="C63" s="3" t="s">
        <v>360</v>
      </c>
      <c r="D63" s="4">
        <v>27871</v>
      </c>
      <c r="E63" s="5">
        <v>41621</v>
      </c>
      <c r="F63" s="5" t="s">
        <v>85</v>
      </c>
      <c r="G63" s="6">
        <f t="shared" si="2"/>
        <v>220</v>
      </c>
      <c r="H63" s="7">
        <v>151</v>
      </c>
      <c r="I63" s="7">
        <v>69</v>
      </c>
      <c r="J63" s="7">
        <v>7</v>
      </c>
    </row>
    <row r="64" spans="1:10" x14ac:dyDescent="0.3">
      <c r="A64" s="13" t="s">
        <v>124</v>
      </c>
      <c r="B64" s="3" t="s">
        <v>425</v>
      </c>
      <c r="C64" s="3" t="s">
        <v>380</v>
      </c>
      <c r="D64" s="4">
        <v>27900</v>
      </c>
      <c r="E64" s="5">
        <v>41340</v>
      </c>
      <c r="F64" s="5" t="s">
        <v>85</v>
      </c>
      <c r="G64" s="6">
        <f t="shared" si="2"/>
        <v>218</v>
      </c>
      <c r="H64" s="7">
        <v>147</v>
      </c>
      <c r="I64" s="7">
        <v>71</v>
      </c>
      <c r="J64" s="7">
        <v>8</v>
      </c>
    </row>
    <row r="65" spans="1:10" x14ac:dyDescent="0.3">
      <c r="A65" s="13" t="s">
        <v>125</v>
      </c>
      <c r="B65" s="3" t="s">
        <v>426</v>
      </c>
      <c r="C65" s="3" t="s">
        <v>374</v>
      </c>
      <c r="D65" s="4">
        <v>27295</v>
      </c>
      <c r="E65" s="5">
        <v>41450</v>
      </c>
      <c r="F65" s="5" t="s">
        <v>85</v>
      </c>
      <c r="G65" s="6">
        <f t="shared" si="2"/>
        <v>215</v>
      </c>
      <c r="H65" s="7">
        <v>106</v>
      </c>
      <c r="I65" s="7">
        <v>109</v>
      </c>
      <c r="J65" s="7">
        <v>6</v>
      </c>
    </row>
    <row r="66" spans="1:10" x14ac:dyDescent="0.3">
      <c r="A66" s="13" t="s">
        <v>126</v>
      </c>
      <c r="B66" s="3" t="s">
        <v>427</v>
      </c>
      <c r="C66" s="3" t="s">
        <v>368</v>
      </c>
      <c r="D66" s="4">
        <v>27677</v>
      </c>
      <c r="E66" s="5">
        <v>41776</v>
      </c>
      <c r="F66" s="5" t="s">
        <v>85</v>
      </c>
      <c r="G66" s="6">
        <f t="shared" si="2"/>
        <v>214</v>
      </c>
      <c r="H66" s="7">
        <v>146</v>
      </c>
      <c r="I66" s="7">
        <v>68</v>
      </c>
      <c r="J66" s="7">
        <v>8</v>
      </c>
    </row>
    <row r="67" spans="1:10" x14ac:dyDescent="0.3">
      <c r="A67" s="13" t="s">
        <v>127</v>
      </c>
      <c r="B67" s="3" t="s">
        <v>428</v>
      </c>
      <c r="C67" s="3" t="s">
        <v>363</v>
      </c>
      <c r="D67" s="4">
        <v>28281</v>
      </c>
      <c r="E67" s="5">
        <v>41325</v>
      </c>
      <c r="F67" s="5" t="s">
        <v>85</v>
      </c>
      <c r="G67" s="6">
        <f t="shared" si="2"/>
        <v>212</v>
      </c>
      <c r="H67" s="7">
        <v>138</v>
      </c>
      <c r="I67" s="7">
        <v>74</v>
      </c>
      <c r="J67" s="7">
        <v>6</v>
      </c>
    </row>
    <row r="68" spans="1:10" x14ac:dyDescent="0.3">
      <c r="A68" s="20" t="s">
        <v>128</v>
      </c>
      <c r="B68" s="3" t="s">
        <v>429</v>
      </c>
      <c r="C68" s="3" t="s">
        <v>374</v>
      </c>
      <c r="D68" s="4">
        <v>28413</v>
      </c>
      <c r="E68" s="5">
        <v>41118</v>
      </c>
      <c r="F68" s="5" t="s">
        <v>85</v>
      </c>
      <c r="G68" s="6">
        <f t="shared" si="2"/>
        <v>205</v>
      </c>
      <c r="H68" s="7">
        <v>130</v>
      </c>
      <c r="I68" s="7">
        <v>75</v>
      </c>
      <c r="J68" s="7">
        <v>15</v>
      </c>
    </row>
    <row r="69" spans="1:10" x14ac:dyDescent="0.3">
      <c r="A69" s="13" t="s">
        <v>131</v>
      </c>
      <c r="B69" s="3" t="s">
        <v>430</v>
      </c>
      <c r="C69" s="3" t="s">
        <v>385</v>
      </c>
      <c r="D69" s="4">
        <v>28239</v>
      </c>
      <c r="E69" s="5">
        <v>42048</v>
      </c>
      <c r="F69" s="5" t="s">
        <v>85</v>
      </c>
      <c r="G69" s="6">
        <f t="shared" si="2"/>
        <v>196</v>
      </c>
      <c r="H69" s="7">
        <v>128</v>
      </c>
      <c r="I69" s="7">
        <v>68</v>
      </c>
      <c r="J69" s="7">
        <v>13</v>
      </c>
    </row>
    <row r="70" spans="1:10" x14ac:dyDescent="0.3">
      <c r="A70" s="13" t="s">
        <v>132</v>
      </c>
      <c r="B70" s="3" t="s">
        <v>431</v>
      </c>
      <c r="C70" s="3" t="s">
        <v>423</v>
      </c>
      <c r="D70" s="4">
        <v>28095</v>
      </c>
      <c r="E70" s="5">
        <v>41584</v>
      </c>
      <c r="F70" s="5" t="s">
        <v>85</v>
      </c>
      <c r="G70" s="6">
        <f t="shared" si="2"/>
        <v>194</v>
      </c>
      <c r="H70" s="7">
        <v>127</v>
      </c>
      <c r="I70" s="7">
        <v>67</v>
      </c>
      <c r="J70" s="7">
        <v>14</v>
      </c>
    </row>
    <row r="71" spans="1:10" x14ac:dyDescent="0.3">
      <c r="A71" s="13" t="s">
        <v>134</v>
      </c>
      <c r="B71" s="3" t="s">
        <v>432</v>
      </c>
      <c r="C71" s="3" t="s">
        <v>423</v>
      </c>
      <c r="D71" s="10">
        <v>27876</v>
      </c>
      <c r="E71" s="5">
        <v>42177</v>
      </c>
      <c r="F71" s="5" t="s">
        <v>85</v>
      </c>
      <c r="G71" s="6">
        <f t="shared" si="2"/>
        <v>191</v>
      </c>
      <c r="H71" s="7">
        <v>110</v>
      </c>
      <c r="I71" s="7">
        <v>81</v>
      </c>
      <c r="J71" s="7">
        <v>8</v>
      </c>
    </row>
    <row r="72" spans="1:10" x14ac:dyDescent="0.3">
      <c r="A72" s="13" t="s">
        <v>135</v>
      </c>
      <c r="B72" s="3" t="s">
        <v>433</v>
      </c>
      <c r="C72" s="3" t="s">
        <v>368</v>
      </c>
      <c r="D72" s="4">
        <v>27925</v>
      </c>
      <c r="E72" s="5">
        <v>42060</v>
      </c>
      <c r="F72" s="5" t="s">
        <v>85</v>
      </c>
      <c r="G72" s="6">
        <f t="shared" si="2"/>
        <v>190</v>
      </c>
      <c r="H72" s="7">
        <v>122</v>
      </c>
      <c r="I72" s="7">
        <v>68</v>
      </c>
      <c r="J72" s="7">
        <v>6</v>
      </c>
    </row>
  </sheetData>
  <protectedRanges>
    <protectedRange sqref="B55:F69" name="Oblast2"/>
    <protectedRange sqref="C14:F54" name="Oblast2_1"/>
    <protectedRange sqref="H9:J54" name="Oblast3_1"/>
    <protectedRange sqref="B14:B54" name="Oblast2_1_1"/>
    <protectedRange sqref="C70:F72" name="Oblast2_1_2"/>
    <protectedRange sqref="B70:B72" name="Oblast2_1_1_1"/>
  </protectedRanges>
  <mergeCells count="15">
    <mergeCell ref="A1:J4"/>
    <mergeCell ref="A5:A7"/>
    <mergeCell ref="B5:B7"/>
    <mergeCell ref="C5:C6"/>
    <mergeCell ref="D5:D7"/>
    <mergeCell ref="E5:E7"/>
    <mergeCell ref="A8:J8"/>
    <mergeCell ref="A22:J22"/>
    <mergeCell ref="A31:J31"/>
    <mergeCell ref="A50:J50"/>
    <mergeCell ref="F5:F7"/>
    <mergeCell ref="G5:G7"/>
    <mergeCell ref="H5:H7"/>
    <mergeCell ref="I5:I7"/>
    <mergeCell ref="J5:J7"/>
  </mergeCells>
  <conditionalFormatting sqref="D9:D21 D23:D30 D32:D49 D51:D72">
    <cfRule type="cellIs" dxfId="1" priority="1" stopIfTrue="1" operator="equal">
      <formula>99999</formula>
    </cfRule>
  </conditionalFormatting>
  <conditionalFormatting sqref="D11">
    <cfRule type="cellIs" dxfId="0" priority="2" stopIfTrue="1" operator="equal">
      <formula>99999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Jihlava</vt:lpstr>
      <vt:lpstr>Podbořany</vt:lpstr>
      <vt:lpstr>Radotín</vt:lpstr>
      <vt:lpstr>Rychnov n.K.</vt:lpstr>
      <vt:lpstr>Strakonice</vt:lpstr>
      <vt:lpstr>Zlín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dcterms:created xsi:type="dcterms:W3CDTF">2026-01-12T14:00:39Z</dcterms:created>
  <dcterms:modified xsi:type="dcterms:W3CDTF">2026-01-12T22:21:13Z</dcterms:modified>
</cp:coreProperties>
</file>